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D:\ga\bureau\"/>
    </mc:Choice>
  </mc:AlternateContent>
  <xr:revisionPtr revIDLastSave="0" documentId="13_ncr:1_{97C1AF77-283D-46D5-8CD1-46670ECADCF2}" xr6:coauthVersionLast="38" xr6:coauthVersionMax="38" xr10:uidLastSave="{00000000-0000-0000-0000-000000000000}"/>
  <bookViews>
    <workbookView xWindow="240" yWindow="120" windowWidth="9195" windowHeight="4965" xr2:uid="{00000000-000D-0000-FFFF-FFFF00000000}"/>
  </bookViews>
  <sheets>
    <sheet name="VAN" sheetId="1" r:id="rId1"/>
    <sheet name="VAN (2)" sheetId="2" r:id="rId2"/>
  </sheets>
  <definedNames>
    <definedName name="Ann" localSheetId="1">'VAN (2)'!$O$20</definedName>
    <definedName name="Ann">VAN!$O$20</definedName>
    <definedName name="De" localSheetId="1">'VAN (2)'!$N$20</definedName>
    <definedName name="De">VAN!$N$20</definedName>
    <definedName name="drci">VAN!$C$43:$G$44</definedName>
    <definedName name="drci2">VAN!$C$42:$G$43</definedName>
    <definedName name="dv" localSheetId="1">'VAN (2)'!$N$3</definedName>
    <definedName name="dv">VAN!$N$3</definedName>
    <definedName name="ME" localSheetId="1">'VAN (2)'!$N$19</definedName>
    <definedName name="ME">VAN!$N$19</definedName>
    <definedName name="mode" localSheetId="1">'VAN (2)'!$O$3</definedName>
    <definedName name="mode">VAN!$O$3</definedName>
    <definedName name="pu" localSheetId="1">'VAN (2)'!$B$7</definedName>
    <definedName name="pu">VAN!$B$7</definedName>
    <definedName name="ti" localSheetId="1">'VAN (2)'!$C$3</definedName>
    <definedName name="ti">VAN!$C$3</definedName>
    <definedName name="TX" localSheetId="1">'VAN (2)'!$C$1</definedName>
    <definedName name="TX">VAN!$C$1</definedName>
    <definedName name="txd" localSheetId="1">'VAN (2)'!$N$4</definedName>
    <definedName name="txd">VAN!$N$4</definedName>
    <definedName name="Txe" localSheetId="1">'VAN (2)'!$N$21</definedName>
    <definedName name="Txe">VAN!$N$21</definedName>
    <definedName name="TXIS" localSheetId="1">'VAN (2)'!$C$2</definedName>
    <definedName name="TXIS">VAN!$C$2</definedName>
    <definedName name="va" localSheetId="1">'VAN (2)'!$N$2</definedName>
    <definedName name="va">VAN!$N$2</definedName>
    <definedName name="_xlnm.Print_Area" localSheetId="0">VAN!$A$1:$O$41</definedName>
    <definedName name="_xlnm.Print_Area" localSheetId="1">'VAN (2)'!$A$1:$O$41</definedName>
  </definedNames>
  <calcPr calcId="181029"/>
</workbook>
</file>

<file path=xl/calcChain.xml><?xml version="1.0" encoding="utf-8"?>
<calcChain xmlns="http://schemas.openxmlformats.org/spreadsheetml/2006/main">
  <c r="C38" i="1" l="1"/>
  <c r="N4" i="1" l="1"/>
  <c r="D8" i="1"/>
  <c r="E8" i="1"/>
  <c r="F8" i="1"/>
  <c r="F10" i="1" s="1"/>
  <c r="G8" i="1"/>
  <c r="G10" i="1" s="1"/>
  <c r="I8" i="1"/>
  <c r="J8" i="1"/>
  <c r="J10" i="1" s="1"/>
  <c r="K8" i="1"/>
  <c r="K10" i="1" s="1"/>
  <c r="L8" i="1"/>
  <c r="L10" i="1" s="1"/>
  <c r="B10" i="1"/>
  <c r="C10" i="1"/>
  <c r="D10" i="1"/>
  <c r="E10" i="1"/>
  <c r="H10" i="1"/>
  <c r="I10" i="1"/>
  <c r="N11" i="1"/>
  <c r="O11" i="1"/>
  <c r="B12" i="1"/>
  <c r="B18" i="1" s="1"/>
  <c r="D12" i="1"/>
  <c r="E12" i="1" s="1"/>
  <c r="F12" i="1" s="1"/>
  <c r="G12" i="1" s="1"/>
  <c r="H12" i="1"/>
  <c r="I12" i="1"/>
  <c r="J12" i="1"/>
  <c r="K12" i="1"/>
  <c r="L12" i="1"/>
  <c r="N12" i="1"/>
  <c r="O12" i="1"/>
  <c r="D13" i="1"/>
  <c r="E13" i="1" s="1"/>
  <c r="N13" i="1"/>
  <c r="O13" i="1"/>
  <c r="D14" i="1"/>
  <c r="E14" i="1"/>
  <c r="F14" i="1"/>
  <c r="G14" i="1" s="1"/>
  <c r="N14" i="1"/>
  <c r="O14" i="1"/>
  <c r="N15" i="1"/>
  <c r="O15" i="1"/>
  <c r="B21" i="1"/>
  <c r="C21" i="1"/>
  <c r="D21" i="1"/>
  <c r="E21" i="1"/>
  <c r="F21" i="1"/>
  <c r="G21" i="1"/>
  <c r="C24" i="1"/>
  <c r="D24" i="1"/>
  <c r="E24" i="1"/>
  <c r="F24" i="1"/>
  <c r="G24" i="1"/>
  <c r="B26" i="1"/>
  <c r="N27" i="1"/>
  <c r="O27" i="1"/>
  <c r="N28" i="1"/>
  <c r="O28" i="1"/>
  <c r="B29" i="1"/>
  <c r="N2" i="1" s="1"/>
  <c r="C29" i="1"/>
  <c r="D29" i="1"/>
  <c r="N29" i="1"/>
  <c r="O29" i="1"/>
  <c r="N30" i="1"/>
  <c r="O30" i="1"/>
  <c r="N31" i="1"/>
  <c r="O31" i="1"/>
  <c r="H43" i="1"/>
  <c r="I43" i="1"/>
  <c r="J43" i="1"/>
  <c r="K43" i="1"/>
  <c r="L43" i="1"/>
  <c r="M43" i="1"/>
  <c r="N43" i="1"/>
  <c r="O43" i="1"/>
  <c r="C44" i="1"/>
  <c r="D44" i="1"/>
  <c r="E44" i="1"/>
  <c r="F44" i="1"/>
  <c r="G44" i="1"/>
  <c r="O6" i="1" l="1"/>
  <c r="N9" i="1"/>
  <c r="F23" i="1" s="1"/>
  <c r="F26" i="1" s="1"/>
  <c r="N19" i="1"/>
  <c r="B27" i="1"/>
  <c r="N7" i="1"/>
  <c r="D23" i="1" s="1"/>
  <c r="D26" i="1" s="1"/>
  <c r="N10" i="1"/>
  <c r="G23" i="1" s="1"/>
  <c r="G26" i="1" s="1"/>
  <c r="F13" i="1"/>
  <c r="G13" i="1" s="1"/>
  <c r="B32" i="1"/>
  <c r="B33" i="1" s="1"/>
  <c r="O7" i="1"/>
  <c r="O8" i="1" s="1"/>
  <c r="E29" i="1"/>
  <c r="N8" i="1"/>
  <c r="E23" i="1" s="1"/>
  <c r="E26" i="1" s="1"/>
  <c r="N6" i="1"/>
  <c r="F29" i="1"/>
  <c r="G29" i="1" s="1"/>
  <c r="B28" i="1"/>
  <c r="G16" i="1"/>
  <c r="G18" i="1" s="1"/>
  <c r="B31" i="1" l="1"/>
  <c r="B34" i="1" s="1"/>
  <c r="B35" i="1" s="1"/>
  <c r="O20" i="1"/>
  <c r="O23" i="1" s="1"/>
  <c r="C28" i="1" s="1"/>
  <c r="C31" i="1" s="1"/>
  <c r="N23" i="1"/>
  <c r="C16" i="1" s="1"/>
  <c r="C18" i="1" s="1"/>
  <c r="G28" i="1"/>
  <c r="G31" i="1" s="1"/>
  <c r="O9" i="1"/>
  <c r="O10" i="1" s="1"/>
  <c r="O16" i="1" s="1"/>
  <c r="G32" i="1"/>
  <c r="G33" i="1" s="1"/>
  <c r="B36" i="1"/>
  <c r="N16" i="1"/>
  <c r="C23" i="1"/>
  <c r="C26" i="1" s="1"/>
  <c r="O24" i="1"/>
  <c r="G34" i="1" l="1"/>
  <c r="G35" i="1" s="1"/>
  <c r="C32" i="1"/>
  <c r="C33" i="1" s="1"/>
  <c r="C34" i="1" s="1"/>
  <c r="C35" i="1" s="1"/>
  <c r="O25" i="1"/>
  <c r="D28" i="1"/>
  <c r="D31" i="1" s="1"/>
  <c r="N24" i="1"/>
  <c r="D16" i="1" l="1"/>
  <c r="D18" i="1" s="1"/>
  <c r="O26" i="1"/>
  <c r="N25" i="1"/>
  <c r="E16" i="1" s="1"/>
  <c r="E18" i="1" s="1"/>
  <c r="E28" i="1"/>
  <c r="E31" i="1" s="1"/>
  <c r="C36" i="1"/>
  <c r="C43" i="1" l="1"/>
  <c r="E32" i="1"/>
  <c r="E33" i="1" s="1"/>
  <c r="E34" i="1" s="1"/>
  <c r="E35" i="1" s="1"/>
  <c r="N26" i="1"/>
  <c r="F28" i="1"/>
  <c r="F31" i="1" s="1"/>
  <c r="O32" i="1"/>
  <c r="D32" i="1"/>
  <c r="D33" i="1" s="1"/>
  <c r="D34" i="1" s="1"/>
  <c r="D35" i="1" s="1"/>
  <c r="F16" i="1" l="1"/>
  <c r="F18" i="1" s="1"/>
  <c r="N32" i="1"/>
  <c r="D36" i="1"/>
  <c r="E36" i="1" l="1"/>
  <c r="D43" i="1"/>
  <c r="F32" i="1"/>
  <c r="F33" i="1" s="1"/>
  <c r="F34" i="1" s="1"/>
  <c r="F35" i="1" s="1"/>
  <c r="C37" i="1" s="1"/>
  <c r="C40" i="1" l="1"/>
  <c r="C39" i="1"/>
  <c r="E43" i="1"/>
  <c r="F36" i="1"/>
  <c r="G36" i="1" l="1"/>
  <c r="G43" i="1" s="1"/>
  <c r="F43" i="1"/>
  <c r="C41" i="1" s="1"/>
</calcChain>
</file>

<file path=xl/sharedStrings.xml><?xml version="1.0" encoding="utf-8"?>
<sst xmlns="http://schemas.openxmlformats.org/spreadsheetml/2006/main" count="338" uniqueCount="288">
  <si>
    <t>Taux d'actualisation retenu pour la van</t>
  </si>
  <si>
    <t>Immobilisation</t>
  </si>
  <si>
    <t>Taux d'imposition</t>
  </si>
  <si>
    <t>Valeur</t>
  </si>
  <si>
    <t>Mode</t>
  </si>
  <si>
    <t>Taux d'inflation</t>
  </si>
  <si>
    <t>Durée de vie</t>
  </si>
  <si>
    <t>D</t>
  </si>
  <si>
    <t>Périodes</t>
  </si>
  <si>
    <t>Taux dég.</t>
  </si>
  <si>
    <t>Analyse du problème</t>
  </si>
  <si>
    <t>linéaire</t>
  </si>
  <si>
    <t>dégressif</t>
  </si>
  <si>
    <t>Volumes</t>
  </si>
  <si>
    <t>Prix ou marge unitaire</t>
  </si>
  <si>
    <t>Chiffre d'affaire ou marge</t>
  </si>
  <si>
    <t>Autres</t>
  </si>
  <si>
    <t>Total produits réels</t>
  </si>
  <si>
    <t>Coût de revient unitaire</t>
  </si>
  <si>
    <t>Coût de revient total</t>
  </si>
  <si>
    <t xml:space="preserve">Frais d'entretien </t>
  </si>
  <si>
    <t>Frais de fonctionnement</t>
  </si>
  <si>
    <t>Leasing ou LOA</t>
  </si>
  <si>
    <t>Intérêts sur emprunts</t>
  </si>
  <si>
    <t>Total charges réelles</t>
  </si>
  <si>
    <t xml:space="preserve">Emprunt </t>
  </si>
  <si>
    <t>Réintégrations fiscales</t>
  </si>
  <si>
    <t>Montant</t>
  </si>
  <si>
    <t>Annuité</t>
  </si>
  <si>
    <t>Durée</t>
  </si>
  <si>
    <t>Total produits fictifs</t>
  </si>
  <si>
    <t>Taux</t>
  </si>
  <si>
    <t>Déductions fiscales</t>
  </si>
  <si>
    <t>Intérêts</t>
  </si>
  <si>
    <t>Capital</t>
  </si>
  <si>
    <t>Amortissement linéaire</t>
  </si>
  <si>
    <t>Amortissement dégressif</t>
  </si>
  <si>
    <t>Total charges fictives</t>
  </si>
  <si>
    <t>Investissements</t>
  </si>
  <si>
    <t>Remboursements en capital</t>
  </si>
  <si>
    <t>Autres décaissements</t>
  </si>
  <si>
    <t>Autres encaissements</t>
  </si>
  <si>
    <t>Total hors produits et charges</t>
  </si>
  <si>
    <t>Résultat fiscal</t>
  </si>
  <si>
    <t>Impôt</t>
  </si>
  <si>
    <t>Soldes de trésorerie</t>
  </si>
  <si>
    <t>Soldes de trésorerie actualisés</t>
  </si>
  <si>
    <t>Cumul des soldes actualisés</t>
  </si>
  <si>
    <t>Valeur actuelle nette</t>
  </si>
  <si>
    <t>Taux de rentabilité interne</t>
  </si>
  <si>
    <t>Taux de profitabilité</t>
  </si>
  <si>
    <t>Indice de profitabilité</t>
  </si>
  <si>
    <t>Délai de récupération du capital</t>
  </si>
  <si>
    <t>1) Retrouvez toutes les valeurs manquantes 2) Sachant que l'on a oublié de décompter le BFR pour 22% du chiffre d'affaires, corrigez ce prévisionnel 3) Commentez 4) Présentez les formules des sous-totaux et des flux de trésorerie actualisés 5) Quel est l'</t>
  </si>
  <si>
    <t xml:space="preserve"> =1/3</t>
  </si>
  <si>
    <t xml:space="preserve"> =SI(dv&gt;6;2,5/dv;SI(dv&gt;4;2/dv;1,5/dv))</t>
  </si>
  <si>
    <t xml:space="preserve"> =C6+1500</t>
  </si>
  <si>
    <t xml:space="preserve"> =D6+1500</t>
  </si>
  <si>
    <t xml:space="preserve"> =E6+1500</t>
  </si>
  <si>
    <t xml:space="preserve"> =F6+1500</t>
  </si>
  <si>
    <t xml:space="preserve"> =SI(M6&lt; =dv;va/dv;0)</t>
  </si>
  <si>
    <t xml:space="preserve"> =va*txd</t>
  </si>
  <si>
    <t xml:space="preserve"> =SI(M7&lt; =dv;va/dv;0)</t>
  </si>
  <si>
    <t xml:space="preserve"> =(va-O6)*txd</t>
  </si>
  <si>
    <t xml:space="preserve"> =C6*C7</t>
  </si>
  <si>
    <t xml:space="preserve"> =D6*D7</t>
  </si>
  <si>
    <t xml:space="preserve"> =E6*E7</t>
  </si>
  <si>
    <t xml:space="preserve"> =F6*F7</t>
  </si>
  <si>
    <t xml:space="preserve"> =G6*G7</t>
  </si>
  <si>
    <t xml:space="preserve"> =I6*I7</t>
  </si>
  <si>
    <t xml:space="preserve"> =J6*J7</t>
  </si>
  <si>
    <t xml:space="preserve"> =K6*K7</t>
  </si>
  <si>
    <t xml:space="preserve"> =L6*L7</t>
  </si>
  <si>
    <t xml:space="preserve"> =SI(M8&lt; =dv;va/dv;0)</t>
  </si>
  <si>
    <t xml:space="preserve"> =SI(M8&lt; =dv;SI(1/(dv-M8+1)&gt;txd;(va-SOMME(O6:O7))/(dv-M8+1);va*txd-SOMME(O6:O7)*txd);0)</t>
  </si>
  <si>
    <t xml:space="preserve"> =SI(M9&lt; =dv;va/dv;0)</t>
  </si>
  <si>
    <t xml:space="preserve"> =SI(M9&lt; =dv;SI(1/(dv-M9+1)&gt;txd;(va-SOMME(O6:O8))/(dv-M9+1);va*txd-SOMME(O6:O8)*txd);0)</t>
  </si>
  <si>
    <t xml:space="preserve"> =SOMME(B8:B9)</t>
  </si>
  <si>
    <t xml:space="preserve"> =SOMME(C8:C9)</t>
  </si>
  <si>
    <t xml:space="preserve"> =SOMME(D8:D9)</t>
  </si>
  <si>
    <t xml:space="preserve"> =SOMME(E8:E9)</t>
  </si>
  <si>
    <t xml:space="preserve"> =SOMME(F8:F9)</t>
  </si>
  <si>
    <t xml:space="preserve"> =SOMME(G8:G9)</t>
  </si>
  <si>
    <t xml:space="preserve"> =SOMME(H8:H9)</t>
  </si>
  <si>
    <t xml:space="preserve"> =SOMME(I8:I9)</t>
  </si>
  <si>
    <t xml:space="preserve"> =SOMME(J8:J9)</t>
  </si>
  <si>
    <t xml:space="preserve"> =SOMME(K8:K9)</t>
  </si>
  <si>
    <t xml:space="preserve"> =SOMME(L8:L9)</t>
  </si>
  <si>
    <t xml:space="preserve"> =SI(M10&lt; =dv;va/dv;0)</t>
  </si>
  <si>
    <t xml:space="preserve"> =SI(M10&lt; =dv;SI(1/(dv-M10+1)&gt;txd;(va-SOMME(O6:O9))/(dv-M10+1);va*txd-SOMME(O6:O9)*txd);0)</t>
  </si>
  <si>
    <t xml:space="preserve"> =SI(M11&lt; =dv;va/dv;0)</t>
  </si>
  <si>
    <t xml:space="preserve"> =SI(M11&lt; =dv;SI(1/(dv-M11+1)&gt;txd;(va-SOMME(O6:O10))/(dv-M11+1);va*txd-SOMME(O6:O10)*txd);0)</t>
  </si>
  <si>
    <t xml:space="preserve"> =B11*B6</t>
  </si>
  <si>
    <t xml:space="preserve"> =C11*C6</t>
  </si>
  <si>
    <t xml:space="preserve"> =D11*D6</t>
  </si>
  <si>
    <t xml:space="preserve"> =E11*E6</t>
  </si>
  <si>
    <t xml:space="preserve"> =F11*F6</t>
  </si>
  <si>
    <t xml:space="preserve"> =G11*G6</t>
  </si>
  <si>
    <t xml:space="preserve"> =H11*H6</t>
  </si>
  <si>
    <t xml:space="preserve"> =I11*I6</t>
  </si>
  <si>
    <t xml:space="preserve"> =J11*J6</t>
  </si>
  <si>
    <t xml:space="preserve"> =K11*K6</t>
  </si>
  <si>
    <t xml:space="preserve"> =L11*L6</t>
  </si>
  <si>
    <t xml:space="preserve"> =SI(M12&lt; =dv;va/dv;0)</t>
  </si>
  <si>
    <t xml:space="preserve"> =SI(M12&lt; =dv;SI(1/(dv-M12+1)&gt;txd;(va-SOMME(O6:O11))/(dv-M12+1);va*txd-SOMME(O6:O11)*txd);0)</t>
  </si>
  <si>
    <t xml:space="preserve"> =SI(M13&lt; =dv;va/dv;0)</t>
  </si>
  <si>
    <t xml:space="preserve"> =SI(M13&lt; =dv;SI(1/(dv-M13+1)&gt;txd;(va-SOMME(O6:O12))/(dv-M13+1);va*txd-SOMME(O6:O12)*txd);0)</t>
  </si>
  <si>
    <t xml:space="preserve"> =SI(M14&lt; =dv;va/dv;0)</t>
  </si>
  <si>
    <t xml:space="preserve"> =SI(M14&lt; =dv;SI(1/(dv-M14+1)&gt;txd;(va-SOMME(O6:O13))/(dv-M14+1);va*txd-SOMME(O6:O13)*txd);0)</t>
  </si>
  <si>
    <t xml:space="preserve"> =SI(M15&lt; =dv;va/dv;0)</t>
  </si>
  <si>
    <t xml:space="preserve"> =SI(M15&lt; =dv;SI(1/(dv-M15+1)&gt;txd;(va-SOMME(O6:O14))/(dv-M15+1);va*txd-SOMME(O6:O14)*txd);0)</t>
  </si>
  <si>
    <t xml:space="preserve"> =SI(ME&lt;&gt;0;N23;0)</t>
  </si>
  <si>
    <t xml:space="preserve"> =SI(ME&lt;&gt;0;N24;0)</t>
  </si>
  <si>
    <t xml:space="preserve"> =SI(ME&lt;&gt;0;N25;0)</t>
  </si>
  <si>
    <t xml:space="preserve"> =SI(ME&lt;&gt;0;N26;0)</t>
  </si>
  <si>
    <t xml:space="preserve"> =SI(ME&lt;&gt;0;N27;0)</t>
  </si>
  <si>
    <t xml:space="preserve"> =SI(ME&lt;&gt;0;N28;0)</t>
  </si>
  <si>
    <t xml:space="preserve"> =SI(ME&lt;&gt;0;N29;0)</t>
  </si>
  <si>
    <t xml:space="preserve"> =SI(ME&lt;&gt;0;N30;0)</t>
  </si>
  <si>
    <t xml:space="preserve"> =SI(ME&lt;&gt;0;N31;0)</t>
  </si>
  <si>
    <t xml:space="preserve"> =SOMME(N6:N15)</t>
  </si>
  <si>
    <t xml:space="preserve"> =SOMME(O6:O15)</t>
  </si>
  <si>
    <t xml:space="preserve"> =SOMME(B12:B17)</t>
  </si>
  <si>
    <t xml:space="preserve"> =SOMME(C12:C17)</t>
  </si>
  <si>
    <t xml:space="preserve"> =SOMME(D12:D17)</t>
  </si>
  <si>
    <t xml:space="preserve"> =SOMME(E12:E17)</t>
  </si>
  <si>
    <t xml:space="preserve"> =SOMME(F12:F17)</t>
  </si>
  <si>
    <t xml:space="preserve"> =SOMME(G12:G17)</t>
  </si>
  <si>
    <t xml:space="preserve"> =SOMME(H12:H17)</t>
  </si>
  <si>
    <t xml:space="preserve"> =SOMME(I12:I17)</t>
  </si>
  <si>
    <t xml:space="preserve"> =SOMME(J12:J17)</t>
  </si>
  <si>
    <t xml:space="preserve"> =SOMME(K12:K17)</t>
  </si>
  <si>
    <t xml:space="preserve"> =SOMME(L12:L17)</t>
  </si>
  <si>
    <t xml:space="preserve"> =B28</t>
  </si>
  <si>
    <t xml:space="preserve"> =N19*N21/(1-(1+N21)^-N20)</t>
  </si>
  <si>
    <t xml:space="preserve"> =SOMME(B19:B20)</t>
  </si>
  <si>
    <t xml:space="preserve"> =SOMME(C19:C20)</t>
  </si>
  <si>
    <t xml:space="preserve"> =SOMME(D19:D20)</t>
  </si>
  <si>
    <t xml:space="preserve"> =SOMME(E19:E20)</t>
  </si>
  <si>
    <t xml:space="preserve"> =SOMME(F19:F20)</t>
  </si>
  <si>
    <t xml:space="preserve"> =SOMME(G19:G20)</t>
  </si>
  <si>
    <t xml:space="preserve"> =SOMME(H19:H20)</t>
  </si>
  <si>
    <t xml:space="preserve"> =SOMME(I19:I20)</t>
  </si>
  <si>
    <t xml:space="preserve"> =SOMME(J19:J20)</t>
  </si>
  <si>
    <t xml:space="preserve"> =SOMME(K19:K20)</t>
  </si>
  <si>
    <t xml:space="preserve"> =SOMME(L19:L20)</t>
  </si>
  <si>
    <t xml:space="preserve"> =SI(mode ="L";N6;0)</t>
  </si>
  <si>
    <t xml:space="preserve"> =SI(mode ="L";N7;0)</t>
  </si>
  <si>
    <t xml:space="preserve"> =SI(mode ="L";N8;0)</t>
  </si>
  <si>
    <t xml:space="preserve"> =SI(mode ="L";N9;0)</t>
  </si>
  <si>
    <t xml:space="preserve"> =SI(mode ="L";N10;0)</t>
  </si>
  <si>
    <t xml:space="preserve"> =SI(mode ="L";N11;0)</t>
  </si>
  <si>
    <t xml:space="preserve"> =SI(mode ="L";N12;0)</t>
  </si>
  <si>
    <t xml:space="preserve"> =SI(mode ="L";N13;0)</t>
  </si>
  <si>
    <t xml:space="preserve"> =SI(mode ="L";N14;0)</t>
  </si>
  <si>
    <t xml:space="preserve"> =SI(mode ="L";N15;0)</t>
  </si>
  <si>
    <t xml:space="preserve"> =N19*N21</t>
  </si>
  <si>
    <t xml:space="preserve"> =Ann-N23</t>
  </si>
  <si>
    <t xml:space="preserve"> =SI(mode ="D";O6;0)</t>
  </si>
  <si>
    <t xml:space="preserve"> =SI(mode ="D";O7;0)</t>
  </si>
  <si>
    <t xml:space="preserve"> =SI(mode ="D";O8;0)</t>
  </si>
  <si>
    <t xml:space="preserve"> =SI(mode ="D";O9;0)</t>
  </si>
  <si>
    <t xml:space="preserve"> =SI(mode ="D";O10;0)</t>
  </si>
  <si>
    <t xml:space="preserve"> =SI(mode ="D";O11;0)</t>
  </si>
  <si>
    <t xml:space="preserve"> =SI(mode ="D";O12;0)</t>
  </si>
  <si>
    <t xml:space="preserve"> =SI(mode ="D";O13;0)</t>
  </si>
  <si>
    <t xml:space="preserve"> =SI(mode ="D";O14;0)</t>
  </si>
  <si>
    <t xml:space="preserve"> =SI(mode ="D";O15;0)</t>
  </si>
  <si>
    <t xml:space="preserve"> =SI(M24&lt; =De;Ann-O24;0)</t>
  </si>
  <si>
    <t xml:space="preserve"> =SI(De&gt; =M24;O23*(1+Txe);0)</t>
  </si>
  <si>
    <t xml:space="preserve"> =SI(M25&lt; =De;Ann-O25;0)</t>
  </si>
  <si>
    <t xml:space="preserve"> =SI(De&gt; =M25;O24*(1+Txe);0)</t>
  </si>
  <si>
    <t xml:space="preserve"> =SOMME(B22:B25)</t>
  </si>
  <si>
    <t xml:space="preserve"> =SOMME(C22:C25)</t>
  </si>
  <si>
    <t xml:space="preserve"> =SOMME(D22:D25)</t>
  </si>
  <si>
    <t xml:space="preserve"> =SOMME(E22:E25)</t>
  </si>
  <si>
    <t xml:space="preserve"> =SOMME(F22:F25)</t>
  </si>
  <si>
    <t xml:space="preserve"> =SOMME(G22:G25)</t>
  </si>
  <si>
    <t xml:space="preserve"> =SOMME(H22:H25)</t>
  </si>
  <si>
    <t xml:space="preserve"> =SOMME(I22:I25)</t>
  </si>
  <si>
    <t xml:space="preserve"> =SOMME(J22:J25)</t>
  </si>
  <si>
    <t xml:space="preserve"> =SOMME(K22:K25)</t>
  </si>
  <si>
    <t xml:space="preserve"> =SOMME(L22:L25)</t>
  </si>
  <si>
    <t xml:space="preserve"> =SI(M26&lt; =De;Ann-O26;0)</t>
  </si>
  <si>
    <t xml:space="preserve"> =SI(De&gt; =M26;O25*(1+Txe);0)</t>
  </si>
  <si>
    <t xml:space="preserve"> =SI(M27&lt; =De;Ann-O27;0)</t>
  </si>
  <si>
    <t xml:space="preserve"> =SI(De&gt; =M27;O26*(1+Txe);0)</t>
  </si>
  <si>
    <t xml:space="preserve"> =SI(ME&lt;&gt;0;-O23;0)</t>
  </si>
  <si>
    <t xml:space="preserve"> =SI(ME&lt;&gt;0;-O24;0)</t>
  </si>
  <si>
    <t xml:space="preserve"> =SI(ME&lt;&gt;0;-O25;0)</t>
  </si>
  <si>
    <t xml:space="preserve"> =SI(ME&lt;&gt;0;-O26;0)</t>
  </si>
  <si>
    <t xml:space="preserve"> =SI(ME&lt;&gt;0;-O27;0)</t>
  </si>
  <si>
    <t xml:space="preserve"> =SI(ME&lt;&gt;0;-O28;0)</t>
  </si>
  <si>
    <t xml:space="preserve"> =SI(ME&lt;&gt;0;-O29;0)</t>
  </si>
  <si>
    <t xml:space="preserve"> =SI(ME&lt;&gt;0;-O30;0)</t>
  </si>
  <si>
    <t xml:space="preserve"> =SI(ME&lt;&gt;0;-O31;0)</t>
  </si>
  <si>
    <t xml:space="preserve"> =SI(M28&lt; =De;Ann-O28;0)</t>
  </si>
  <si>
    <t xml:space="preserve"> =SI(De&gt; =M28;O27*(1+Txe);0)</t>
  </si>
  <si>
    <t xml:space="preserve"> =SI(M29&lt; =De;Ann-O29;0)</t>
  </si>
  <si>
    <t xml:space="preserve"> =SI(De&gt; =M29;O28*(1+Txe);0)</t>
  </si>
  <si>
    <t xml:space="preserve"> =SI(M30&lt; =De;Ann-O30;0)</t>
  </si>
  <si>
    <t xml:space="preserve"> =SI(De&gt; =M30;O29*(1+Txe);0)</t>
  </si>
  <si>
    <t xml:space="preserve"> =SOMME(B27:B30)</t>
  </si>
  <si>
    <t xml:space="preserve"> =SOMME(C27:C30)</t>
  </si>
  <si>
    <t xml:space="preserve"> =SOMME(D27:D30)</t>
  </si>
  <si>
    <t xml:space="preserve"> =SOMME(E27:E30)</t>
  </si>
  <si>
    <t xml:space="preserve"> =SOMME(F27:F30)</t>
  </si>
  <si>
    <t xml:space="preserve"> =SOMME(G27:G30)</t>
  </si>
  <si>
    <t xml:space="preserve"> =SOMME(H27:H30)</t>
  </si>
  <si>
    <t xml:space="preserve"> =SOMME(I27:I30)</t>
  </si>
  <si>
    <t xml:space="preserve"> =SOMME(J27:J30)</t>
  </si>
  <si>
    <t xml:space="preserve"> =SOMME(K27:K30)</t>
  </si>
  <si>
    <t xml:space="preserve"> =SOMME(L27:L30)</t>
  </si>
  <si>
    <t xml:space="preserve"> =SI(M31&lt; =De;Ann-O31;0)</t>
  </si>
  <si>
    <t xml:space="preserve"> =SI(De&gt; =M31;O30*(1+Txe);0)</t>
  </si>
  <si>
    <t xml:space="preserve"> =ENT((B10-B18+B21-B26)/10)*10</t>
  </si>
  <si>
    <t xml:space="preserve"> =ENT((C10-C18+C21-C26)/10)*10</t>
  </si>
  <si>
    <t xml:space="preserve"> =ENT((D10-D18+D21-D26)/10)*10</t>
  </si>
  <si>
    <t xml:space="preserve"> =ENT((E10-E18+E21-E26)/10)*10</t>
  </si>
  <si>
    <t xml:space="preserve"> =ENT((F10-F18+F21-F26)/10)*10</t>
  </si>
  <si>
    <t xml:space="preserve"> =ENT((G10-G18+G21-G26)/10)*10</t>
  </si>
  <si>
    <t xml:space="preserve"> =ENT((H10-H18+H21-H26)/10)*10</t>
  </si>
  <si>
    <t xml:space="preserve"> =ENT((I10-I18+I21-I26)/10)*10</t>
  </si>
  <si>
    <t xml:space="preserve"> =ENT((J10-J18+J21-J26)/10)*10</t>
  </si>
  <si>
    <t xml:space="preserve"> =ENT((K10-K18+K21-K26)/10)*10</t>
  </si>
  <si>
    <t xml:space="preserve"> =ENT((L10-L18+L21-L26)/10)*10</t>
  </si>
  <si>
    <t xml:space="preserve"> =SOMME(N23:N31)</t>
  </si>
  <si>
    <t xml:space="preserve"> =SOMME(O23:O31)</t>
  </si>
  <si>
    <t xml:space="preserve"> =ENT(B32*TXIS)</t>
  </si>
  <si>
    <t xml:space="preserve"> =ENT(C32*TXIS)</t>
  </si>
  <si>
    <t xml:space="preserve"> =ENT(D32*TXIS)</t>
  </si>
  <si>
    <t xml:space="preserve"> =ENT(E32*TXIS)</t>
  </si>
  <si>
    <t xml:space="preserve"> =ENT(F32*TXIS)</t>
  </si>
  <si>
    <t xml:space="preserve"> =ENT(G32*TXIS)</t>
  </si>
  <si>
    <t xml:space="preserve"> =ENT(H32*TXIS)</t>
  </si>
  <si>
    <t xml:space="preserve"> =ENT(I32*TXIS)</t>
  </si>
  <si>
    <t xml:space="preserve"> =ENT(J32*TXIS)</t>
  </si>
  <si>
    <t xml:space="preserve"> =ENT(K32*TXIS)</t>
  </si>
  <si>
    <t xml:space="preserve"> =ENT(L32*TXIS)</t>
  </si>
  <si>
    <t xml:space="preserve"> =B10-B18+B31</t>
  </si>
  <si>
    <t xml:space="preserve"> =C10-C18+C31-C33</t>
  </si>
  <si>
    <t xml:space="preserve"> =D10-D18+D31-D33</t>
  </si>
  <si>
    <t xml:space="preserve"> =E10-E18+E31-E33</t>
  </si>
  <si>
    <t xml:space="preserve"> =F10-F18+F31-F33</t>
  </si>
  <si>
    <t xml:space="preserve"> =G10-G18+G31-G33</t>
  </si>
  <si>
    <t xml:space="preserve"> =H10-H18+H31-H33</t>
  </si>
  <si>
    <t xml:space="preserve"> =I10-I18+I31-I33</t>
  </si>
  <si>
    <t xml:space="preserve"> =J10-J18+J31-J33</t>
  </si>
  <si>
    <t xml:space="preserve"> =K10-K18+K31-K33</t>
  </si>
  <si>
    <t xml:space="preserve"> =L10-L18+L31-L33</t>
  </si>
  <si>
    <t xml:space="preserve"> =B34*(1+TX)^-(COLONNE()-2)</t>
  </si>
  <si>
    <t xml:space="preserve"> =C34*(1+TX)^-(COLONNE()-2)</t>
  </si>
  <si>
    <t xml:space="preserve"> =D34*(1+TX)^-(COLONNE()-2)</t>
  </si>
  <si>
    <t xml:space="preserve"> =E34*(1+TX)^-(COLONNE()-2)</t>
  </si>
  <si>
    <t xml:space="preserve"> =F34*(1+TX)^-(COLONNE()-2)</t>
  </si>
  <si>
    <t xml:space="preserve"> =G34*(1+TX)^-(COLONNE()-2)</t>
  </si>
  <si>
    <t xml:space="preserve"> =H34*(1+TX)^-(COLONNE()-2)</t>
  </si>
  <si>
    <t xml:space="preserve"> =I34*(1+TX)^-(COLONNE()-2)</t>
  </si>
  <si>
    <t xml:space="preserve"> =J34*(1+TX)^-J4</t>
  </si>
  <si>
    <t xml:space="preserve"> =K34*(1+TX)^-K4</t>
  </si>
  <si>
    <t xml:space="preserve"> =L34*(1+TX)^-L4</t>
  </si>
  <si>
    <t xml:space="preserve"> =SOMME(A36;B35)</t>
  </si>
  <si>
    <t xml:space="preserve"> =SOMME(B36;C35)</t>
  </si>
  <si>
    <t xml:space="preserve"> =SOMME(C36;D35)</t>
  </si>
  <si>
    <t xml:space="preserve"> =SOMME(D36;E35)</t>
  </si>
  <si>
    <t xml:space="preserve"> =SOMME(E36;F35)</t>
  </si>
  <si>
    <t xml:space="preserve"> =SOMME(F36;G35)</t>
  </si>
  <si>
    <t xml:space="preserve"> =SOMME(G36;H35)</t>
  </si>
  <si>
    <t xml:space="preserve"> =SOMME(H36;I35)</t>
  </si>
  <si>
    <t xml:space="preserve"> =SOMME(I36;J35)</t>
  </si>
  <si>
    <t xml:space="preserve"> =SOMME(J36;K35)</t>
  </si>
  <si>
    <t xml:space="preserve"> =SOMME(K36;L35)</t>
  </si>
  <si>
    <t xml:space="preserve"> =SOMME(B35:L35)</t>
  </si>
  <si>
    <t xml:space="preserve"> =SI(C37&gt;0;TRI(B35:L35);"non rentable")</t>
  </si>
  <si>
    <t xml:space="preserve"> =SI(B35&lt;&gt;0;SI(C37&gt;0;C37/-B35;"non rentable");"non calculé")</t>
  </si>
  <si>
    <t xml:space="preserve"> =SI(B35&lt;&gt;0;SI(C37&gt;0;SOMME(C35:L35)/-B35;"non rentable");"non calculé")</t>
  </si>
  <si>
    <t xml:space="preserve"> =SI(C36&gt;0;0;SI(D36&gt;0;1;SI(E36&gt;0;2;SI(F36&gt;0;3;SI(F36&gt;0;4;SI(G36&gt;0;SI(H36&gt;0;5;SI(I36&gt;0;6;"non calculé"))))))))</t>
  </si>
  <si>
    <t xml:space="preserve"> =SI(B41 =1;-360*C36/(D36-C36);SI(B41 =2;-360*D36/(E36-D36);SI(B41 =3;-360*E36/(F36-E36);SI(B41 =4;-360*F36/(G36-F36);SI(B41 =5;-360*G36/(H36-G36);SI(B41 =6;-360*H36/(J36-I36);"non calculé"))))))</t>
  </si>
  <si>
    <t>non retenu ici</t>
  </si>
  <si>
    <t>L</t>
  </si>
  <si>
    <t>Salaires et cotisations sociales</t>
  </si>
  <si>
    <t>Total produits encaissés</t>
  </si>
  <si>
    <t>Total charges décaissées</t>
  </si>
  <si>
    <t>Coût d'achat des marchandises</t>
  </si>
  <si>
    <t>Total charges non décaissées</t>
  </si>
  <si>
    <t>Besoin en fonds de roulement</t>
  </si>
  <si>
    <t>ANNEXE IV : STE ALMET - Financement par emprunt</t>
  </si>
  <si>
    <t>Chiffre d'affaires ou marge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</si>
</sst>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MS Sans Serif"/>
      <family val="2"/>
    </font>
    <font>
      <sz val="11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1"/>
      <name val="MS Sans Serif"/>
      <family val="2"/>
    </font>
    <font>
      <b/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1" borderId="2" xfId="0" applyFont="1" applyFill="1" applyBorder="1"/>
    <xf numFmtId="0" fontId="5" fillId="1" borderId="3" xfId="0" applyFont="1" applyFill="1" applyBorder="1"/>
    <xf numFmtId="0" fontId="5" fillId="1" borderId="4" xfId="0" applyFont="1" applyFill="1" applyBorder="1"/>
    <xf numFmtId="0" fontId="5" fillId="1" borderId="5" xfId="0" applyFont="1" applyFill="1" applyBorder="1"/>
    <xf numFmtId="0" fontId="5" fillId="1" borderId="6" xfId="0" applyFont="1" applyFill="1" applyBorder="1"/>
    <xf numFmtId="0" fontId="6" fillId="0" borderId="7" xfId="0" applyFont="1" applyBorder="1" applyAlignment="1">
      <alignment wrapText="1"/>
    </xf>
    <xf numFmtId="10" fontId="9" fillId="0" borderId="7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10" fontId="6" fillId="0" borderId="2" xfId="0" applyNumberFormat="1" applyFont="1" applyBorder="1" applyAlignment="1">
      <alignment wrapText="1"/>
    </xf>
    <xf numFmtId="4" fontId="8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0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right" wrapText="1"/>
    </xf>
    <xf numFmtId="1" fontId="9" fillId="0" borderId="2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4" fontId="6" fillId="0" borderId="0" xfId="0" applyNumberFormat="1" applyFont="1" applyAlignment="1">
      <alignment wrapText="1"/>
    </xf>
    <xf numFmtId="4" fontId="6" fillId="0" borderId="2" xfId="0" applyNumberFormat="1" applyFont="1" applyFill="1" applyBorder="1" applyAlignment="1">
      <alignment horizontal="right" wrapText="1"/>
    </xf>
    <xf numFmtId="0" fontId="5" fillId="1" borderId="2" xfId="0" applyFont="1" applyFill="1" applyBorder="1" applyAlignment="1">
      <alignment wrapText="1"/>
    </xf>
    <xf numFmtId="4" fontId="6" fillId="1" borderId="2" xfId="0" applyNumberFormat="1" applyFont="1" applyFill="1" applyBorder="1" applyAlignment="1">
      <alignment horizontal="right" wrapText="1"/>
    </xf>
    <xf numFmtId="4" fontId="9" fillId="1" borderId="2" xfId="0" applyNumberFormat="1" applyFont="1" applyFill="1" applyBorder="1" applyAlignment="1">
      <alignment horizontal="right" wrapText="1"/>
    </xf>
    <xf numFmtId="4" fontId="9" fillId="0" borderId="2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4" fontId="9" fillId="0" borderId="0" xfId="0" applyNumberFormat="1" applyFont="1" applyAlignment="1">
      <alignment wrapText="1"/>
    </xf>
    <xf numFmtId="10" fontId="9" fillId="0" borderId="0" xfId="0" applyNumberFormat="1" applyFont="1" applyAlignment="1">
      <alignment wrapText="1"/>
    </xf>
    <xf numFmtId="4" fontId="11" fillId="0" borderId="0" xfId="0" applyNumberFormat="1" applyFont="1" applyAlignment="1">
      <alignment wrapText="1"/>
    </xf>
    <xf numFmtId="0" fontId="5" fillId="1" borderId="3" xfId="0" applyFont="1" applyFill="1" applyBorder="1" applyAlignment="1">
      <alignment wrapText="1"/>
    </xf>
    <xf numFmtId="4" fontId="6" fillId="1" borderId="3" xfId="0" applyNumberFormat="1" applyFont="1" applyFill="1" applyBorder="1" applyAlignment="1">
      <alignment horizontal="right" wrapText="1"/>
    </xf>
    <xf numFmtId="0" fontId="5" fillId="1" borderId="4" xfId="0" applyFont="1" applyFill="1" applyBorder="1" applyAlignment="1">
      <alignment wrapText="1"/>
    </xf>
    <xf numFmtId="4" fontId="6" fillId="1" borderId="8" xfId="0" applyNumberFormat="1" applyFont="1" applyFill="1" applyBorder="1" applyAlignment="1">
      <alignment horizontal="right" wrapText="1"/>
    </xf>
    <xf numFmtId="4" fontId="6" fillId="1" borderId="9" xfId="0" applyNumberFormat="1" applyFont="1" applyFill="1" applyBorder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5" fillId="1" borderId="5" xfId="0" applyFont="1" applyFill="1" applyBorder="1" applyAlignment="1">
      <alignment wrapText="1"/>
    </xf>
    <xf numFmtId="4" fontId="6" fillId="1" borderId="0" xfId="0" applyNumberFormat="1" applyFont="1" applyFill="1" applyBorder="1" applyAlignment="1">
      <alignment horizontal="right" wrapText="1"/>
    </xf>
    <xf numFmtId="10" fontId="6" fillId="1" borderId="10" xfId="0" applyNumberFormat="1" applyFont="1" applyFill="1" applyBorder="1" applyAlignment="1">
      <alignment horizontal="center" wrapText="1"/>
    </xf>
    <xf numFmtId="0" fontId="6" fillId="1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1" borderId="6" xfId="0" applyFont="1" applyFill="1" applyBorder="1" applyAlignment="1">
      <alignment wrapText="1"/>
    </xf>
    <xf numFmtId="1" fontId="6" fillId="1" borderId="11" xfId="0" applyNumberFormat="1" applyFont="1" applyFill="1" applyBorder="1" applyAlignment="1">
      <alignment wrapText="1"/>
    </xf>
    <xf numFmtId="1" fontId="6" fillId="1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2" fillId="0" borderId="2" xfId="0" applyFont="1" applyBorder="1"/>
    <xf numFmtId="0" fontId="12" fillId="1" borderId="2" xfId="0" applyFont="1" applyFill="1" applyBorder="1"/>
    <xf numFmtId="10" fontId="13" fillId="0" borderId="7" xfId="0" applyNumberFormat="1" applyFont="1" applyBorder="1"/>
    <xf numFmtId="1" fontId="4" fillId="0" borderId="2" xfId="0" applyNumberFormat="1" applyFont="1" applyBorder="1" applyAlignment="1">
      <alignment horizontal="right"/>
    </xf>
    <xf numFmtId="10" fontId="4" fillId="0" borderId="2" xfId="0" applyNumberFormat="1" applyFont="1" applyBorder="1"/>
    <xf numFmtId="4" fontId="7" fillId="0" borderId="0" xfId="0" applyNumberFormat="1" applyFont="1"/>
    <xf numFmtId="10" fontId="4" fillId="0" borderId="2" xfId="0" applyNumberFormat="1" applyFont="1" applyBorder="1" applyAlignment="1">
      <alignment horizontal="center"/>
    </xf>
    <xf numFmtId="10" fontId="4" fillId="0" borderId="0" xfId="0" applyNumberFormat="1" applyFont="1"/>
    <xf numFmtId="4" fontId="4" fillId="0" borderId="2" xfId="0" applyNumberFormat="1" applyFont="1" applyBorder="1" applyAlignment="1">
      <alignment horizontal="center"/>
    </xf>
    <xf numFmtId="0" fontId="14" fillId="0" borderId="2" xfId="0" applyFont="1" applyBorder="1"/>
    <xf numFmtId="1" fontId="13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4" fontId="4" fillId="0" borderId="2" xfId="0" applyNumberFormat="1" applyFont="1" applyFill="1" applyBorder="1" applyAlignment="1">
      <alignment horizontal="right"/>
    </xf>
    <xf numFmtId="4" fontId="4" fillId="1" borderId="2" xfId="0" applyNumberFormat="1" applyFont="1" applyFill="1" applyBorder="1" applyAlignment="1">
      <alignment horizontal="right"/>
    </xf>
    <xf numFmtId="4" fontId="13" fillId="1" borderId="2" xfId="0" applyNumberFormat="1" applyFont="1" applyFill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4" fontId="15" fillId="0" borderId="0" xfId="0" applyNumberFormat="1" applyFont="1"/>
    <xf numFmtId="0" fontId="4" fillId="0" borderId="0" xfId="0" applyFont="1" applyAlignment="1">
      <alignment horizontal="center"/>
    </xf>
    <xf numFmtId="4" fontId="13" fillId="0" borderId="0" xfId="0" applyNumberFormat="1" applyFont="1"/>
    <xf numFmtId="10" fontId="13" fillId="0" borderId="0" xfId="0" applyNumberFormat="1" applyFont="1"/>
    <xf numFmtId="4" fontId="4" fillId="1" borderId="3" xfId="0" applyNumberFormat="1" applyFont="1" applyFill="1" applyBorder="1" applyAlignment="1">
      <alignment horizontal="right"/>
    </xf>
    <xf numFmtId="4" fontId="4" fillId="1" borderId="8" xfId="0" applyNumberFormat="1" applyFont="1" applyFill="1" applyBorder="1" applyAlignment="1">
      <alignment horizontal="right"/>
    </xf>
    <xf numFmtId="4" fontId="4" fillId="1" borderId="9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7" fillId="0" borderId="0" xfId="0" applyFont="1" applyBorder="1"/>
    <xf numFmtId="4" fontId="4" fillId="1" borderId="0" xfId="0" applyNumberFormat="1" applyFont="1" applyFill="1" applyBorder="1" applyAlignment="1">
      <alignment horizontal="right"/>
    </xf>
    <xf numFmtId="10" fontId="4" fillId="1" borderId="10" xfId="0" applyNumberFormat="1" applyFont="1" applyFill="1" applyBorder="1" applyAlignment="1">
      <alignment horizontal="center"/>
    </xf>
    <xf numFmtId="0" fontId="4" fillId="1" borderId="0" xfId="0" applyFont="1" applyFill="1" applyBorder="1"/>
    <xf numFmtId="0" fontId="4" fillId="0" borderId="0" xfId="0" applyFont="1" applyBorder="1"/>
    <xf numFmtId="1" fontId="4" fillId="1" borderId="11" xfId="0" applyNumberFormat="1" applyFont="1" applyFill="1" applyBorder="1"/>
    <xf numFmtId="1" fontId="4" fillId="1" borderId="12" xfId="0" applyNumberFormat="1" applyFont="1" applyFill="1" applyBorder="1" applyAlignment="1">
      <alignment horizontal="center"/>
    </xf>
    <xf numFmtId="0" fontId="16" fillId="0" borderId="0" xfId="0" applyFont="1"/>
    <xf numFmtId="0" fontId="1" fillId="0" borderId="0" xfId="0" applyFont="1"/>
    <xf numFmtId="4" fontId="1" fillId="0" borderId="0" xfId="0" applyNumberFormat="1" applyFont="1"/>
    <xf numFmtId="0" fontId="5" fillId="0" borderId="16" xfId="0" applyFont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4" fontId="4" fillId="0" borderId="17" xfId="0" applyNumberFormat="1" applyFont="1" applyBorder="1"/>
    <xf numFmtId="4" fontId="4" fillId="0" borderId="0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0" fontId="4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1" fontId="17" fillId="0" borderId="9" xfId="0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86069881534857"/>
          <c:y val="0.19131054153736082"/>
          <c:w val="0.33774169448364616"/>
          <c:h val="0.626107226849544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VAN!$A$35</c:f>
              <c:strCache>
                <c:ptCount val="1"/>
                <c:pt idx="0">
                  <c:v>Soldes de trésorerie actualisés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VAN!$B$35:$L$35</c:f>
              <c:numCache>
                <c:formatCode>#,##0.00</c:formatCode>
                <c:ptCount val="11"/>
                <c:pt idx="0">
                  <c:v>-589185.48481957125</c:v>
                </c:pt>
                <c:pt idx="1">
                  <c:v>219476.12447620789</c:v>
                </c:pt>
                <c:pt idx="2">
                  <c:v>186358.71256652827</c:v>
                </c:pt>
                <c:pt idx="3">
                  <c:v>158142.79326078782</c:v>
                </c:pt>
                <c:pt idx="4">
                  <c:v>134109.8820537508</c:v>
                </c:pt>
                <c:pt idx="5">
                  <c:v>474891.98108718503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D-4500-BAC7-5C1BDC91C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8942848"/>
        <c:axId val="229163008"/>
      </c:barChart>
      <c:lineChart>
        <c:grouping val="standard"/>
        <c:varyColors val="0"/>
        <c:ser>
          <c:idx val="0"/>
          <c:order val="1"/>
          <c:tx>
            <c:strRef>
              <c:f>VAN!$A$36</c:f>
              <c:strCache>
                <c:ptCount val="1"/>
                <c:pt idx="0">
                  <c:v>Cumul des soldes actualisés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VAN!$B$36:$L$36</c:f>
              <c:numCache>
                <c:formatCode>#,##0.00</c:formatCode>
                <c:ptCount val="11"/>
                <c:pt idx="0">
                  <c:v>-589185.48481957125</c:v>
                </c:pt>
                <c:pt idx="1">
                  <c:v>-369709.36034336337</c:v>
                </c:pt>
                <c:pt idx="2">
                  <c:v>-183350.6477768351</c:v>
                </c:pt>
                <c:pt idx="3">
                  <c:v>-25207.854516047286</c:v>
                </c:pt>
                <c:pt idx="4">
                  <c:v>108902.02753770351</c:v>
                </c:pt>
                <c:pt idx="5">
                  <c:v>583794.00862488849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5D-4500-BAC7-5C1BDC91C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45408"/>
        <c:axId val="229163584"/>
      </c:lineChart>
      <c:catAx>
        <c:axId val="228942848"/>
        <c:scaling>
          <c:orientation val="minMax"/>
        </c:scaling>
        <c:delete val="1"/>
        <c:axPos val="b"/>
        <c:majorTickMark val="out"/>
        <c:minorTickMark val="none"/>
        <c:tickLblPos val="nextTo"/>
        <c:crossAx val="229163008"/>
        <c:crosses val="autoZero"/>
        <c:auto val="0"/>
        <c:lblAlgn val="ctr"/>
        <c:lblOffset val="100"/>
        <c:noMultiLvlLbl val="0"/>
      </c:catAx>
      <c:valAx>
        <c:axId val="22916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fr-FR"/>
          </a:p>
        </c:txPr>
        <c:crossAx val="228942848"/>
        <c:crosses val="autoZero"/>
        <c:crossBetween val="between"/>
      </c:valAx>
      <c:catAx>
        <c:axId val="228945408"/>
        <c:scaling>
          <c:orientation val="minMax"/>
        </c:scaling>
        <c:delete val="1"/>
        <c:axPos val="b"/>
        <c:majorTickMark val="out"/>
        <c:minorTickMark val="none"/>
        <c:tickLblPos val="nextTo"/>
        <c:crossAx val="229163584"/>
        <c:crosses val="autoZero"/>
        <c:auto val="0"/>
        <c:lblAlgn val="ctr"/>
        <c:lblOffset val="100"/>
        <c:noMultiLvlLbl val="0"/>
      </c:catAx>
      <c:valAx>
        <c:axId val="22916358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8945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506249378959463"/>
          <c:y val="4.3479668531218367E-2"/>
          <c:w val="0.26913791279165555"/>
          <c:h val="0.930464906568073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fr-FR"/>
    </a:p>
  </c:txPr>
  <c:printSettings>
    <c:headerFooter alignWithMargins="0">
      <c:oddHeader>&amp;F</c:oddHeader>
      <c:oddFooter>Page &amp;P</c:oddFooter>
    </c:headerFooter>
    <c:pageMargins b="0.984251969" l="0.78740157499999996" r="0.78740157499999996" t="0.984251969" header="0.4921259845" footer="0.4921259845"/>
    <c:pageSetup paperSize="9" orientation="portrait" horizontalDpi="300" verticalDpi="-4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20804894055006E-2"/>
          <c:y val="3.3291682432832877E-2"/>
          <c:w val="0.65341586531142537"/>
          <c:h val="0.934728006767999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'VAN (2)'!$A$35</c:f>
              <c:strCache>
                <c:ptCount val="1"/>
                <c:pt idx="0">
                  <c:v>Soldes de trésorerie actualisés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'VAN (2)'!$B$35:$L$35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C-4DAF-B20F-D242EDC27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230336"/>
        <c:axId val="229165312"/>
      </c:barChart>
      <c:lineChart>
        <c:grouping val="standard"/>
        <c:varyColors val="0"/>
        <c:ser>
          <c:idx val="0"/>
          <c:order val="1"/>
          <c:tx>
            <c:strRef>
              <c:f>'VAN (2)'!$A$36</c:f>
              <c:strCache>
                <c:ptCount val="1"/>
                <c:pt idx="0">
                  <c:v>Cumul des soldes actualisés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'VAN (2)'!$B$36:$L$36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C-4DAF-B20F-D242EDC27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740800"/>
        <c:axId val="229165888"/>
      </c:lineChart>
      <c:catAx>
        <c:axId val="153230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9165312"/>
        <c:crosses val="autoZero"/>
        <c:auto val="0"/>
        <c:lblAlgn val="ctr"/>
        <c:lblOffset val="100"/>
        <c:noMultiLvlLbl val="0"/>
      </c:catAx>
      <c:valAx>
        <c:axId val="22916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fr-FR"/>
          </a:p>
        </c:txPr>
        <c:crossAx val="153230336"/>
        <c:crosses val="autoZero"/>
        <c:crossBetween val="between"/>
      </c:valAx>
      <c:catAx>
        <c:axId val="265740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29165888"/>
        <c:crosses val="autoZero"/>
        <c:auto val="0"/>
        <c:lblAlgn val="ctr"/>
        <c:lblOffset val="100"/>
        <c:noMultiLvlLbl val="0"/>
      </c:catAx>
      <c:valAx>
        <c:axId val="2291658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657408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2718862429819919"/>
          <c:y val="0.45840085811362191"/>
          <c:w val="0.26347413923847796"/>
          <c:h val="5.50593209466082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fr-FR"/>
    </a:p>
  </c:txPr>
  <c:printSettings>
    <c:headerFooter alignWithMargins="0">
      <c:oddHeader>&amp;F</c:oddHeader>
      <c:oddFooter>Page &amp;P</c:oddFooter>
    </c:headerFooter>
    <c:pageMargins b="0.984251969" l="0.78740157499999996" r="0.78740157499999996" t="0.984251969" header="0.4921259845" footer="0.4921259845"/>
    <c:pageSetup paperSize="9" orientation="portrait" horizontalDpi="300" verticalDpi="-4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36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1028" name="Graphiqu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36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049" name="Graphiqu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54"/>
  <sheetViews>
    <sheetView showGridLines="0" showZeros="0" tabSelected="1" showOutlineSymbols="0" workbookViewId="0">
      <selection activeCell="C38" sqref="C38"/>
    </sheetView>
  </sheetViews>
  <sheetFormatPr baseColWidth="10" defaultRowHeight="12.75" x14ac:dyDescent="0.2"/>
  <cols>
    <col min="1" max="1" width="30.85546875" style="89" customWidth="1"/>
    <col min="2" max="2" width="15.85546875" style="89" customWidth="1"/>
    <col min="3" max="7" width="13.5703125" style="89" customWidth="1"/>
    <col min="8" max="12" width="13.5703125" style="89" hidden="1" customWidth="1"/>
    <col min="13" max="13" width="11.42578125" style="90"/>
    <col min="14" max="14" width="13.140625" style="90" customWidth="1"/>
    <col min="15" max="15" width="13" style="90" customWidth="1"/>
    <col min="16" max="16384" width="11.42578125" style="90"/>
  </cols>
  <sheetData>
    <row r="1" spans="1:15" s="3" customFormat="1" ht="17.25" customHeight="1" x14ac:dyDescent="0.2">
      <c r="A1" s="105" t="s">
        <v>0</v>
      </c>
      <c r="B1" s="106"/>
      <c r="C1" s="59">
        <v>0.2</v>
      </c>
      <c r="D1" s="111" t="s">
        <v>286</v>
      </c>
      <c r="E1" s="112"/>
      <c r="F1" s="112"/>
      <c r="G1" s="113"/>
      <c r="H1" s="60"/>
      <c r="I1" s="60"/>
      <c r="J1" s="60"/>
      <c r="K1" s="60"/>
      <c r="L1" s="60"/>
      <c r="M1" s="3" t="s">
        <v>1</v>
      </c>
    </row>
    <row r="2" spans="1:15" s="3" customFormat="1" ht="17.25" customHeight="1" x14ac:dyDescent="0.2">
      <c r="A2" s="107" t="s">
        <v>2</v>
      </c>
      <c r="B2" s="108"/>
      <c r="C2" s="61">
        <v>0.28000000000000003</v>
      </c>
      <c r="D2" s="114"/>
      <c r="E2" s="115"/>
      <c r="F2" s="115"/>
      <c r="G2" s="116"/>
      <c r="H2" s="60"/>
      <c r="I2" s="60"/>
      <c r="J2" s="60"/>
      <c r="K2" s="60"/>
      <c r="L2" s="60"/>
      <c r="M2" s="3" t="s">
        <v>3</v>
      </c>
      <c r="N2" s="62">
        <f>1100000+B29</f>
        <v>427102.43744183006</v>
      </c>
      <c r="O2" s="3" t="s">
        <v>4</v>
      </c>
    </row>
    <row r="3" spans="1:15" s="3" customFormat="1" ht="17.25" customHeight="1" thickBot="1" x14ac:dyDescent="0.25">
      <c r="A3" s="109" t="s">
        <v>5</v>
      </c>
      <c r="B3" s="110"/>
      <c r="C3" s="63" t="s">
        <v>278</v>
      </c>
      <c r="D3" s="117"/>
      <c r="E3" s="118"/>
      <c r="F3" s="118"/>
      <c r="G3" s="119"/>
      <c r="H3" s="60"/>
      <c r="I3" s="60"/>
      <c r="J3" s="60"/>
      <c r="K3" s="60"/>
      <c r="L3" s="60"/>
      <c r="M3" s="1" t="s">
        <v>6</v>
      </c>
      <c r="N3" s="1">
        <v>5</v>
      </c>
      <c r="O3" s="104" t="s">
        <v>279</v>
      </c>
    </row>
    <row r="4" spans="1:15" s="2" customFormat="1" ht="17.25" customHeight="1" x14ac:dyDescent="0.25">
      <c r="A4" s="4" t="s">
        <v>8</v>
      </c>
      <c r="B4" s="5">
        <v>0</v>
      </c>
      <c r="C4" s="5">
        <v>1</v>
      </c>
      <c r="D4" s="92">
        <v>2</v>
      </c>
      <c r="E4" s="92">
        <v>3</v>
      </c>
      <c r="F4" s="92">
        <v>4</v>
      </c>
      <c r="G4" s="92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1" t="s">
        <v>9</v>
      </c>
      <c r="N4" s="64">
        <f>IF(dv&gt;6,2.5/dv,IF(dv&gt;4,2/dv,1.5/dv))</f>
        <v>0.4</v>
      </c>
      <c r="O4" s="3"/>
    </row>
    <row r="5" spans="1:15" s="1" customFormat="1" ht="17.25" customHeight="1" x14ac:dyDescent="0.25">
      <c r="A5" s="57" t="s">
        <v>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N5" s="103" t="s">
        <v>11</v>
      </c>
      <c r="O5" s="103" t="s">
        <v>12</v>
      </c>
    </row>
    <row r="6" spans="1:15" s="1" customFormat="1" ht="17.25" customHeight="1" x14ac:dyDescent="0.2">
      <c r="A6" s="66" t="s">
        <v>13</v>
      </c>
      <c r="B6" s="60"/>
      <c r="C6" s="60"/>
      <c r="D6" s="60"/>
      <c r="E6" s="67"/>
      <c r="F6" s="67"/>
      <c r="G6" s="60"/>
      <c r="H6" s="60"/>
      <c r="I6" s="68"/>
      <c r="J6" s="68"/>
      <c r="K6" s="68"/>
      <c r="L6" s="68"/>
      <c r="M6" s="1">
        <v>1</v>
      </c>
      <c r="N6" s="101">
        <f t="shared" ref="N6:N15" si="0">IF(M6&lt;=dv,va/dv,0)</f>
        <v>85420.487488366009</v>
      </c>
      <c r="O6" s="102">
        <f>va*txd</f>
        <v>170840.97497673205</v>
      </c>
    </row>
    <row r="7" spans="1:15" s="1" customFormat="1" ht="17.25" customHeight="1" x14ac:dyDescent="0.2">
      <c r="A7" s="66" t="s">
        <v>14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1">
        <v>2</v>
      </c>
      <c r="N7" s="101">
        <f t="shared" si="0"/>
        <v>85420.487488366009</v>
      </c>
      <c r="O7" s="102">
        <f>(va-O6)*txd</f>
        <v>102504.5849860392</v>
      </c>
    </row>
    <row r="8" spans="1:15" s="1" customFormat="1" ht="17.25" customHeight="1" x14ac:dyDescent="0.2">
      <c r="A8" s="69" t="s">
        <v>287</v>
      </c>
      <c r="B8" s="68"/>
      <c r="C8" s="68">
        <v>8074770.7506980393</v>
      </c>
      <c r="D8" s="68">
        <f>C8*1.02</f>
        <v>8236266.1657119999</v>
      </c>
      <c r="E8" s="68">
        <f>D8*1.02</f>
        <v>8400991.4890262391</v>
      </c>
      <c r="F8" s="68">
        <f>E8*1.02</f>
        <v>8569011.3188067637</v>
      </c>
      <c r="G8" s="68">
        <f>F8*1.02</f>
        <v>8740391.5451828986</v>
      </c>
      <c r="H8" s="68"/>
      <c r="I8" s="68">
        <f>I6*I7</f>
        <v>0</v>
      </c>
      <c r="J8" s="68">
        <f>J6*J7</f>
        <v>0</v>
      </c>
      <c r="K8" s="68">
        <f>K6*K7</f>
        <v>0</v>
      </c>
      <c r="L8" s="68">
        <f>L6*L7</f>
        <v>0</v>
      </c>
      <c r="M8" s="1">
        <v>3</v>
      </c>
      <c r="N8" s="101">
        <f t="shared" si="0"/>
        <v>85420.487488366009</v>
      </c>
      <c r="O8" s="102">
        <f>IF(M8&lt;=dv,IF(1/(dv-M8+1)&gt;txd,(va-SUM(O6:O7))/(dv-M8+1),va*txd-SUM(O6:O7)*txd),0)</f>
        <v>61502.750991623543</v>
      </c>
    </row>
    <row r="9" spans="1:15" s="1" customFormat="1" ht="17.25" customHeight="1" x14ac:dyDescent="0.2">
      <c r="A9" s="66" t="s">
        <v>16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1">
        <v>4</v>
      </c>
      <c r="N9" s="101">
        <f t="shared" si="0"/>
        <v>85420.487488366009</v>
      </c>
      <c r="O9" s="102">
        <f>IF(M9&lt;=dv,IF(1/(dv-M9+1)&gt;txd,(va-SUM(O6:O8))/(dv-M9+1),va*txd-SUM(O6:O8)*txd),0)</f>
        <v>46127.063243717625</v>
      </c>
    </row>
    <row r="10" spans="1:15" s="1" customFormat="1" ht="17.25" customHeight="1" x14ac:dyDescent="0.25">
      <c r="A10" s="6" t="s">
        <v>281</v>
      </c>
      <c r="B10" s="71">
        <f t="shared" ref="B10:L10" si="1">SUM(B8:B9)</f>
        <v>0</v>
      </c>
      <c r="C10" s="71">
        <f t="shared" si="1"/>
        <v>8074770.7506980393</v>
      </c>
      <c r="D10" s="72">
        <f t="shared" si="1"/>
        <v>8236266.1657119999</v>
      </c>
      <c r="E10" s="71">
        <f t="shared" si="1"/>
        <v>8400991.4890262391</v>
      </c>
      <c r="F10" s="71">
        <f t="shared" si="1"/>
        <v>8569011.3188067637</v>
      </c>
      <c r="G10" s="71">
        <f t="shared" si="1"/>
        <v>8740391.5451828986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1">
        <v>5</v>
      </c>
      <c r="N10" s="101">
        <f t="shared" si="0"/>
        <v>85420.487488366009</v>
      </c>
      <c r="O10" s="102">
        <f>IF(M10&lt;=dv,IF(1/(dv-M10+1)&gt;txd,(va-SUM(O6:O9))/(dv-M10+1),va*txd-SUM(O6:O9)*txd),0)</f>
        <v>46127.063243717654</v>
      </c>
    </row>
    <row r="11" spans="1:15" s="1" customFormat="1" ht="17.25" customHeight="1" x14ac:dyDescent="0.2">
      <c r="A11" s="66" t="s">
        <v>18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">
        <v>6</v>
      </c>
      <c r="N11" s="101">
        <f t="shared" si="0"/>
        <v>0</v>
      </c>
      <c r="O11" s="102">
        <f>IF(M11&lt;=dv,IF(1/(dv-M11+1)&gt;txd,(va-SUM(O6:O10))/(dv-M11+1),va*txd-SUM(O6:O10)*txd),0)</f>
        <v>0</v>
      </c>
    </row>
    <row r="12" spans="1:15" s="1" customFormat="1" ht="17.25" customHeight="1" x14ac:dyDescent="0.2">
      <c r="A12" s="69" t="s">
        <v>283</v>
      </c>
      <c r="B12" s="68">
        <f t="shared" ref="B12:L12" si="2">B11*B6</f>
        <v>0</v>
      </c>
      <c r="C12" s="68">
        <v>6492050.9310799995</v>
      </c>
      <c r="D12" s="68">
        <f t="shared" ref="D12:G14" si="3">C12*1.02</f>
        <v>6621891.9497015998</v>
      </c>
      <c r="E12" s="68">
        <f t="shared" si="3"/>
        <v>6754329.7886956315</v>
      </c>
      <c r="F12" s="68">
        <f t="shared" si="3"/>
        <v>6889416.3844695445</v>
      </c>
      <c r="G12" s="68">
        <f t="shared" si="3"/>
        <v>7027204.7121589351</v>
      </c>
      <c r="H12" s="68">
        <f t="shared" si="2"/>
        <v>0</v>
      </c>
      <c r="I12" s="68">
        <f t="shared" si="2"/>
        <v>0</v>
      </c>
      <c r="J12" s="68">
        <f t="shared" si="2"/>
        <v>0</v>
      </c>
      <c r="K12" s="68">
        <f t="shared" si="2"/>
        <v>0</v>
      </c>
      <c r="L12" s="68">
        <f t="shared" si="2"/>
        <v>0</v>
      </c>
      <c r="M12" s="1">
        <v>7</v>
      </c>
      <c r="N12" s="101">
        <f t="shared" si="0"/>
        <v>0</v>
      </c>
      <c r="O12" s="102">
        <f>IF(M12&lt;=dv,IF(1/(dv-M12+1)&gt;txd,(va-SUM(O6:O11))/(dv-M12+1),va*txd-SUM(O6:O11)*txd),0)</f>
        <v>0</v>
      </c>
    </row>
    <row r="13" spans="1:15" s="1" customFormat="1" ht="17.25" customHeight="1" x14ac:dyDescent="0.2">
      <c r="A13" s="69" t="s">
        <v>280</v>
      </c>
      <c r="B13" s="68"/>
      <c r="C13" s="68">
        <v>979752.03214922477</v>
      </c>
      <c r="D13" s="68">
        <f t="shared" si="3"/>
        <v>999347.07279220934</v>
      </c>
      <c r="E13" s="68">
        <f t="shared" si="3"/>
        <v>1019334.0142480535</v>
      </c>
      <c r="F13" s="68">
        <f t="shared" si="3"/>
        <v>1039720.6945330147</v>
      </c>
      <c r="G13" s="68">
        <f t="shared" si="3"/>
        <v>1060515.1084236749</v>
      </c>
      <c r="H13" s="68"/>
      <c r="I13" s="68"/>
      <c r="J13" s="68"/>
      <c r="K13" s="68"/>
      <c r="L13" s="68"/>
      <c r="M13" s="1">
        <v>8</v>
      </c>
      <c r="N13" s="101">
        <f t="shared" si="0"/>
        <v>0</v>
      </c>
      <c r="O13" s="102">
        <f>IF(M13&lt;=dv,IF(1/(dv-M13+1)&gt;txd,(va-SUM(O6:O12))/(dv-M13+1),va*txd-SUM(O6:O12)*txd),0)</f>
        <v>0</v>
      </c>
    </row>
    <row r="14" spans="1:15" s="1" customFormat="1" ht="17.25" customHeight="1" x14ac:dyDescent="0.2">
      <c r="A14" s="69" t="s">
        <v>21</v>
      </c>
      <c r="B14" s="68"/>
      <c r="C14" s="68">
        <v>52000</v>
      </c>
      <c r="D14" s="68">
        <f t="shared" si="3"/>
        <v>53040</v>
      </c>
      <c r="E14" s="68">
        <f t="shared" si="3"/>
        <v>54100.800000000003</v>
      </c>
      <c r="F14" s="68">
        <f t="shared" si="3"/>
        <v>55182.816000000006</v>
      </c>
      <c r="G14" s="68">
        <f t="shared" si="3"/>
        <v>56286.472320000008</v>
      </c>
      <c r="H14" s="68"/>
      <c r="I14" s="68"/>
      <c r="J14" s="68"/>
      <c r="K14" s="68"/>
      <c r="L14" s="68"/>
      <c r="M14" s="1">
        <v>9</v>
      </c>
      <c r="N14" s="101">
        <f t="shared" si="0"/>
        <v>0</v>
      </c>
      <c r="O14" s="102">
        <f>IF(M14&lt;=dv,IF(1/(dv-M14+1)&gt;txd,(va-SUM(O6:O13))/(dv-M14+1),va*txd-SUM(O6:O13)*txd),0)</f>
        <v>0</v>
      </c>
    </row>
    <row r="15" spans="1:15" s="1" customFormat="1" ht="17.25" customHeight="1" x14ac:dyDescent="0.2">
      <c r="A15" s="66" t="s">
        <v>22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1">
        <v>10</v>
      </c>
      <c r="N15" s="101">
        <f t="shared" si="0"/>
        <v>0</v>
      </c>
      <c r="O15" s="102">
        <f>IF(M15&lt;=dv,IF(1/(dv-M15+1)&gt;txd,(va-SUM(O6:O14))/(dv-M15+1),va*txd-SUM(O6:O14)*txd),0)</f>
        <v>0</v>
      </c>
    </row>
    <row r="16" spans="1:15" s="1" customFormat="1" ht="17.25" customHeight="1" x14ac:dyDescent="0.2">
      <c r="A16" s="69" t="s">
        <v>23</v>
      </c>
      <c r="B16" s="68"/>
      <c r="C16" s="68">
        <f>IF(ME&lt;&gt;0,N23,0)</f>
        <v>43419.233790336446</v>
      </c>
      <c r="D16" s="73">
        <f>IF(ME&lt;&gt;0,N24,0)</f>
        <v>33854.502280587811</v>
      </c>
      <c r="E16" s="73">
        <f>IF(ME&lt;&gt;0,N25,0)</f>
        <v>23476.768592510547</v>
      </c>
      <c r="F16" s="73">
        <f>IF(ME&lt;&gt;0,N26,0)</f>
        <v>12216.927540946723</v>
      </c>
      <c r="G16" s="68">
        <f>IF(ME&lt;&gt;0,N27,0)</f>
        <v>0</v>
      </c>
      <c r="H16" s="68"/>
      <c r="I16" s="68"/>
      <c r="J16" s="68"/>
      <c r="K16" s="68"/>
      <c r="L16" s="68"/>
      <c r="N16" s="99">
        <f>SUM(N6:N15)</f>
        <v>427102.43744183006</v>
      </c>
      <c r="O16" s="99">
        <f>SUM(O6:O15)</f>
        <v>427102.43744183006</v>
      </c>
    </row>
    <row r="17" spans="1:15" s="1" customFormat="1" ht="17.25" customHeight="1" x14ac:dyDescent="0.2">
      <c r="A17" s="66" t="s">
        <v>16</v>
      </c>
      <c r="B17" s="68"/>
      <c r="C17" s="68">
        <v>0</v>
      </c>
      <c r="D17" s="68">
        <v>0</v>
      </c>
      <c r="E17" s="68">
        <v>0</v>
      </c>
      <c r="F17" s="68"/>
      <c r="G17" s="68"/>
      <c r="H17" s="68"/>
      <c r="I17" s="68"/>
      <c r="J17" s="68"/>
      <c r="K17" s="68"/>
      <c r="L17" s="68"/>
    </row>
    <row r="18" spans="1:15" s="1" customFormat="1" ht="17.25" customHeight="1" x14ac:dyDescent="0.25">
      <c r="A18" s="6" t="s">
        <v>282</v>
      </c>
      <c r="B18" s="71">
        <f t="shared" ref="B18:G18" si="4">SUM(B12:B17)</f>
        <v>0</v>
      </c>
      <c r="C18" s="71">
        <f t="shared" si="4"/>
        <v>7567222.1970195603</v>
      </c>
      <c r="D18" s="71">
        <f t="shared" si="4"/>
        <v>7708133.5247743977</v>
      </c>
      <c r="E18" s="71">
        <f t="shared" si="4"/>
        <v>7851241.3715361953</v>
      </c>
      <c r="F18" s="71">
        <f t="shared" si="4"/>
        <v>7996536.8225435056</v>
      </c>
      <c r="G18" s="71">
        <f t="shared" si="4"/>
        <v>8144006.2929026093</v>
      </c>
      <c r="H18" s="71"/>
      <c r="I18" s="71"/>
      <c r="J18" s="71"/>
      <c r="K18" s="71"/>
      <c r="L18" s="71"/>
      <c r="M18" s="1" t="s">
        <v>25</v>
      </c>
    </row>
    <row r="19" spans="1:15" s="1" customFormat="1" ht="17.25" customHeight="1" x14ac:dyDescent="0.2">
      <c r="A19" s="66" t="s">
        <v>26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1" t="s">
        <v>27</v>
      </c>
      <c r="N19" s="74">
        <f>va*1.196</f>
        <v>510814.51518042875</v>
      </c>
      <c r="O19" s="75" t="s">
        <v>28</v>
      </c>
    </row>
    <row r="20" spans="1:15" s="1" customFormat="1" ht="17.25" customHeight="1" x14ac:dyDescent="0.2">
      <c r="A20" s="66" t="s">
        <v>16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1" t="s">
        <v>29</v>
      </c>
      <c r="N20" s="1">
        <v>4</v>
      </c>
      <c r="O20" s="76">
        <f>N19*N21/(1-(1+N21)^-N20)</f>
        <v>155945.48684620266</v>
      </c>
    </row>
    <row r="21" spans="1:15" s="1" customFormat="1" ht="17.25" customHeight="1" x14ac:dyDescent="0.25">
      <c r="A21" s="58"/>
      <c r="B21" s="71">
        <f t="shared" ref="B21:G21" si="5">SUM(B19:B20)</f>
        <v>0</v>
      </c>
      <c r="C21" s="71">
        <f t="shared" si="5"/>
        <v>0</v>
      </c>
      <c r="D21" s="71">
        <f t="shared" si="5"/>
        <v>0</v>
      </c>
      <c r="E21" s="71">
        <f t="shared" si="5"/>
        <v>0</v>
      </c>
      <c r="F21" s="71">
        <f t="shared" si="5"/>
        <v>0</v>
      </c>
      <c r="G21" s="71">
        <f t="shared" si="5"/>
        <v>0</v>
      </c>
      <c r="H21" s="71"/>
      <c r="I21" s="71"/>
      <c r="J21" s="71"/>
      <c r="K21" s="71"/>
      <c r="L21" s="71"/>
      <c r="M21" s="1" t="s">
        <v>31</v>
      </c>
      <c r="N21" s="77">
        <v>8.5000000000000006E-2</v>
      </c>
    </row>
    <row r="22" spans="1:15" s="3" customFormat="1" ht="17.25" customHeight="1" x14ac:dyDescent="0.2">
      <c r="A22" s="66" t="s">
        <v>32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1"/>
      <c r="N22" s="103" t="s">
        <v>33</v>
      </c>
      <c r="O22" s="103" t="s">
        <v>34</v>
      </c>
    </row>
    <row r="23" spans="1:15" s="3" customFormat="1" ht="17.25" customHeight="1" x14ac:dyDescent="0.2">
      <c r="A23" s="69" t="s">
        <v>35</v>
      </c>
      <c r="B23" s="68"/>
      <c r="C23" s="68">
        <f>IF(mode="L",N6,0)</f>
        <v>85420.487488366009</v>
      </c>
      <c r="D23" s="68">
        <f>IF(mode="L",N7,0)</f>
        <v>85420.487488366009</v>
      </c>
      <c r="E23" s="68">
        <f>IF(mode="L",N8,0)</f>
        <v>85420.487488366009</v>
      </c>
      <c r="F23" s="68">
        <f>IF(mode="L",N9,0)</f>
        <v>85420.487488366009</v>
      </c>
      <c r="G23" s="68">
        <f>IF(mode="L",N10,0)</f>
        <v>85420.487488366009</v>
      </c>
      <c r="H23" s="68"/>
      <c r="I23" s="68"/>
      <c r="J23" s="68"/>
      <c r="K23" s="68"/>
      <c r="L23" s="68"/>
      <c r="M23" s="3">
        <v>1</v>
      </c>
      <c r="N23" s="101">
        <f>N19*N21</f>
        <v>43419.233790336446</v>
      </c>
      <c r="O23" s="102">
        <f>Ann-N23</f>
        <v>112526.25305586623</v>
      </c>
    </row>
    <row r="24" spans="1:15" s="3" customFormat="1" ht="17.25" customHeight="1" x14ac:dyDescent="0.2">
      <c r="A24" s="66" t="s">
        <v>36</v>
      </c>
      <c r="B24" s="68"/>
      <c r="C24" s="68">
        <f>IF(mode="D",O6,0)</f>
        <v>0</v>
      </c>
      <c r="D24" s="68">
        <f>IF(mode="D",O7,0)</f>
        <v>0</v>
      </c>
      <c r="E24" s="68">
        <f>IF(mode="D",O8,0)</f>
        <v>0</v>
      </c>
      <c r="F24" s="68">
        <f>IF(mode="D",O9,0)</f>
        <v>0</v>
      </c>
      <c r="G24" s="68">
        <f>IF(mode="D",O10,0)</f>
        <v>0</v>
      </c>
      <c r="H24" s="68"/>
      <c r="I24" s="68"/>
      <c r="J24" s="68"/>
      <c r="K24" s="68"/>
      <c r="L24" s="68"/>
      <c r="M24" s="3">
        <v>2</v>
      </c>
      <c r="N24" s="101">
        <f t="shared" ref="N24:N31" si="6">IF(M24&lt;=De,Ann-O24,0)</f>
        <v>33854.502280587811</v>
      </c>
      <c r="O24" s="102">
        <f t="shared" ref="O24:O31" si="7">IF(De&gt;=M24,O23*(1+Txe),0)</f>
        <v>122090.98456561485</v>
      </c>
    </row>
    <row r="25" spans="1:15" s="3" customFormat="1" ht="17.25" customHeight="1" x14ac:dyDescent="0.2">
      <c r="A25" s="66" t="s">
        <v>16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3">
        <v>3</v>
      </c>
      <c r="N25" s="101">
        <f t="shared" si="6"/>
        <v>23476.768592510547</v>
      </c>
      <c r="O25" s="102">
        <f t="shared" si="7"/>
        <v>132468.71825369212</v>
      </c>
    </row>
    <row r="26" spans="1:15" s="3" customFormat="1" ht="17.25" customHeight="1" x14ac:dyDescent="0.25">
      <c r="A26" s="6" t="s">
        <v>284</v>
      </c>
      <c r="B26" s="71">
        <f t="shared" ref="B26:G26" si="8">SUM(B22:B25)</f>
        <v>0</v>
      </c>
      <c r="C26" s="71">
        <f t="shared" si="8"/>
        <v>85420.487488366009</v>
      </c>
      <c r="D26" s="71">
        <f t="shared" si="8"/>
        <v>85420.487488366009</v>
      </c>
      <c r="E26" s="71">
        <f t="shared" si="8"/>
        <v>85420.487488366009</v>
      </c>
      <c r="F26" s="71">
        <f t="shared" si="8"/>
        <v>85420.487488366009</v>
      </c>
      <c r="G26" s="71">
        <f t="shared" si="8"/>
        <v>85420.487488366009</v>
      </c>
      <c r="H26" s="71"/>
      <c r="I26" s="71"/>
      <c r="J26" s="71"/>
      <c r="K26" s="71"/>
      <c r="L26" s="71"/>
      <c r="M26" s="3">
        <v>4</v>
      </c>
      <c r="N26" s="101">
        <f t="shared" si="6"/>
        <v>12216.927540946723</v>
      </c>
      <c r="O26" s="102">
        <f t="shared" si="7"/>
        <v>143728.55930525594</v>
      </c>
    </row>
    <row r="27" spans="1:15" s="3" customFormat="1" ht="17.25" customHeight="1" x14ac:dyDescent="0.2">
      <c r="A27" s="69" t="s">
        <v>38</v>
      </c>
      <c r="B27" s="68">
        <f>-va</f>
        <v>-427102.43744183006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3">
        <v>5</v>
      </c>
      <c r="N27" s="101">
        <f t="shared" si="6"/>
        <v>0</v>
      </c>
      <c r="O27" s="102">
        <f t="shared" si="7"/>
        <v>0</v>
      </c>
    </row>
    <row r="28" spans="1:15" s="3" customFormat="1" ht="17.25" customHeight="1" x14ac:dyDescent="0.2">
      <c r="A28" s="69" t="s">
        <v>39</v>
      </c>
      <c r="B28" s="68">
        <f>+ME</f>
        <v>510814.51518042875</v>
      </c>
      <c r="C28" s="68">
        <f>IF(ME&lt;&gt;0,-O23,0)</f>
        <v>-112526.25305586623</v>
      </c>
      <c r="D28" s="68">
        <f>IF(ME&lt;&gt;0,-O24,0)</f>
        <v>-122090.98456561485</v>
      </c>
      <c r="E28" s="73">
        <f>IF(ME&lt;&gt;0,-O25,0)</f>
        <v>-132468.71825369212</v>
      </c>
      <c r="F28" s="73">
        <f>IF(ME&lt;&gt;0,-O26,0)</f>
        <v>-143728.55930525594</v>
      </c>
      <c r="G28" s="68">
        <f>IF(ME&lt;&gt;0,-O27,0)</f>
        <v>0</v>
      </c>
      <c r="H28" s="68"/>
      <c r="I28" s="68"/>
      <c r="J28" s="68"/>
      <c r="K28" s="68"/>
      <c r="L28" s="68"/>
      <c r="M28" s="3">
        <v>6</v>
      </c>
      <c r="N28" s="101">
        <f t="shared" si="6"/>
        <v>0</v>
      </c>
      <c r="O28" s="102">
        <f t="shared" si="7"/>
        <v>0</v>
      </c>
    </row>
    <row r="29" spans="1:15" s="3" customFormat="1" ht="17.25" customHeight="1" x14ac:dyDescent="0.2">
      <c r="A29" s="69" t="s">
        <v>285</v>
      </c>
      <c r="B29" s="68">
        <f>-1/12*C8</f>
        <v>-672897.56255816994</v>
      </c>
      <c r="C29" s="68">
        <f>-(D8-C8)/12</f>
        <v>-13457.95125116338</v>
      </c>
      <c r="D29" s="68">
        <f>-(E8-D8)/12</f>
        <v>-13727.110276186606</v>
      </c>
      <c r="E29" s="68">
        <f>-(F8-E8)/12</f>
        <v>-14001.652481710384</v>
      </c>
      <c r="F29" s="68">
        <f>-(G8-F8)/12</f>
        <v>-14281.685531344576</v>
      </c>
      <c r="G29" s="68">
        <f>-SUM(B29:F29)</f>
        <v>728365.96209857496</v>
      </c>
      <c r="H29" s="68"/>
      <c r="I29" s="68"/>
      <c r="J29" s="68"/>
      <c r="K29" s="68"/>
      <c r="L29" s="68"/>
      <c r="M29" s="3">
        <v>7</v>
      </c>
      <c r="N29" s="101">
        <f t="shared" si="6"/>
        <v>0</v>
      </c>
      <c r="O29" s="102">
        <f t="shared" si="7"/>
        <v>0</v>
      </c>
    </row>
    <row r="30" spans="1:15" s="3" customFormat="1" ht="17.25" customHeight="1" x14ac:dyDescent="0.2">
      <c r="A30" s="66" t="s">
        <v>41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3">
        <v>8</v>
      </c>
      <c r="N30" s="101">
        <f t="shared" si="6"/>
        <v>0</v>
      </c>
      <c r="O30" s="102">
        <f t="shared" si="7"/>
        <v>0</v>
      </c>
    </row>
    <row r="31" spans="1:15" s="3" customFormat="1" ht="17.25" customHeight="1" x14ac:dyDescent="0.25">
      <c r="A31" s="6" t="s">
        <v>42</v>
      </c>
      <c r="B31" s="71">
        <f t="shared" ref="B31:F31" si="9">SUM(B27:B30)</f>
        <v>-589185.48481957125</v>
      </c>
      <c r="C31" s="71">
        <f t="shared" si="9"/>
        <v>-125984.20430702961</v>
      </c>
      <c r="D31" s="71">
        <f t="shared" si="9"/>
        <v>-135818.09484180144</v>
      </c>
      <c r="E31" s="71">
        <f t="shared" si="9"/>
        <v>-146470.37073540251</v>
      </c>
      <c r="F31" s="71">
        <f t="shared" si="9"/>
        <v>-158010.24483660053</v>
      </c>
      <c r="G31" s="71">
        <f>SUM(G27:G29)</f>
        <v>728365.96209857496</v>
      </c>
      <c r="H31" s="71"/>
      <c r="I31" s="71"/>
      <c r="J31" s="71"/>
      <c r="K31" s="71"/>
      <c r="L31" s="71"/>
      <c r="M31" s="3">
        <v>9</v>
      </c>
      <c r="N31" s="101">
        <f t="shared" si="6"/>
        <v>0</v>
      </c>
      <c r="O31" s="102">
        <f t="shared" si="7"/>
        <v>0</v>
      </c>
    </row>
    <row r="32" spans="1:15" s="3" customFormat="1" ht="17.25" customHeight="1" x14ac:dyDescent="0.2">
      <c r="A32" s="69" t="s">
        <v>43</v>
      </c>
      <c r="B32" s="68">
        <f t="shared" ref="B32:G32" si="10">INT((B10-B18+B21-B26)/10)*10</f>
        <v>0</v>
      </c>
      <c r="C32" s="68">
        <f t="shared" si="10"/>
        <v>422120</v>
      </c>
      <c r="D32" s="68">
        <f t="shared" si="10"/>
        <v>442710</v>
      </c>
      <c r="E32" s="68">
        <f t="shared" si="10"/>
        <v>464320</v>
      </c>
      <c r="F32" s="68">
        <f t="shared" si="10"/>
        <v>487050</v>
      </c>
      <c r="G32" s="68">
        <f t="shared" si="10"/>
        <v>510960</v>
      </c>
      <c r="H32" s="68"/>
      <c r="I32" s="68"/>
      <c r="J32" s="68"/>
      <c r="K32" s="68"/>
      <c r="L32" s="68"/>
      <c r="N32" s="99">
        <f>SUM(N23:N31)</f>
        <v>112967.43220438153</v>
      </c>
      <c r="O32" s="99">
        <f>SUM(O23:O31)</f>
        <v>510814.51518042915</v>
      </c>
    </row>
    <row r="33" spans="1:17" s="3" customFormat="1" ht="17.25" customHeight="1" x14ac:dyDescent="0.2">
      <c r="A33" s="69" t="s">
        <v>44</v>
      </c>
      <c r="B33" s="68">
        <f t="shared" ref="B33:G33" si="11">INT(B32*TXIS)</f>
        <v>0</v>
      </c>
      <c r="C33" s="68">
        <f t="shared" si="11"/>
        <v>118193</v>
      </c>
      <c r="D33" s="68">
        <f t="shared" si="11"/>
        <v>123958</v>
      </c>
      <c r="E33" s="68">
        <f t="shared" si="11"/>
        <v>130009</v>
      </c>
      <c r="F33" s="68">
        <f t="shared" si="11"/>
        <v>136374</v>
      </c>
      <c r="G33" s="68">
        <f t="shared" si="11"/>
        <v>143068</v>
      </c>
      <c r="H33" s="68"/>
      <c r="I33" s="68"/>
      <c r="J33" s="68"/>
      <c r="K33" s="68"/>
      <c r="L33" s="68"/>
      <c r="N33" s="100"/>
      <c r="O33" s="100"/>
    </row>
    <row r="34" spans="1:17" s="3" customFormat="1" ht="17.25" customHeight="1" x14ac:dyDescent="0.25">
      <c r="A34" s="6" t="s">
        <v>45</v>
      </c>
      <c r="B34" s="71">
        <f>B10-B18+B31</f>
        <v>-589185.48481957125</v>
      </c>
      <c r="C34" s="71">
        <f t="shared" ref="C34:G34" si="12">C10-C18+C31-C33</f>
        <v>263371.34937144944</v>
      </c>
      <c r="D34" s="71">
        <f t="shared" si="12"/>
        <v>268356.5460958007</v>
      </c>
      <c r="E34" s="71">
        <f t="shared" si="12"/>
        <v>273270.74675464135</v>
      </c>
      <c r="F34" s="71">
        <f t="shared" si="12"/>
        <v>278090.25142665766</v>
      </c>
      <c r="G34" s="71">
        <f t="shared" si="12"/>
        <v>1181683.2143788643</v>
      </c>
      <c r="H34" s="71"/>
      <c r="I34" s="71"/>
      <c r="J34" s="71"/>
      <c r="K34" s="71"/>
      <c r="L34" s="71"/>
    </row>
    <row r="35" spans="1:17" s="3" customFormat="1" ht="17.25" customHeight="1" x14ac:dyDescent="0.25">
      <c r="A35" s="6" t="s">
        <v>46</v>
      </c>
      <c r="B35" s="71">
        <f>B34*(1+TX)^-(COLUMN()-2)</f>
        <v>-589185.48481957125</v>
      </c>
      <c r="C35" s="71">
        <f t="shared" ref="C35:G35" si="13">C34*(1+TX)^-(COLUMN()-2)</f>
        <v>219476.12447620789</v>
      </c>
      <c r="D35" s="71">
        <f t="shared" si="13"/>
        <v>186358.71256652827</v>
      </c>
      <c r="E35" s="71">
        <f t="shared" si="13"/>
        <v>158142.79326078782</v>
      </c>
      <c r="F35" s="71">
        <f t="shared" si="13"/>
        <v>134109.8820537508</v>
      </c>
      <c r="G35" s="71">
        <f t="shared" si="13"/>
        <v>474891.98108718503</v>
      </c>
      <c r="H35" s="71"/>
      <c r="I35" s="71"/>
      <c r="J35" s="71"/>
      <c r="K35" s="71"/>
      <c r="L35" s="71"/>
    </row>
    <row r="36" spans="1:17" s="3" customFormat="1" ht="17.25" customHeight="1" thickBot="1" x14ac:dyDescent="0.3">
      <c r="A36" s="7" t="s">
        <v>47</v>
      </c>
      <c r="B36" s="78">
        <f>SUM(A36,B35)</f>
        <v>-589185.48481957125</v>
      </c>
      <c r="C36" s="78">
        <f t="shared" ref="C36:G36" si="14">SUM(B36,C35)</f>
        <v>-369709.36034336337</v>
      </c>
      <c r="D36" s="78">
        <f t="shared" si="14"/>
        <v>-183350.6477768351</v>
      </c>
      <c r="E36" s="78">
        <f t="shared" si="14"/>
        <v>-25207.854516047286</v>
      </c>
      <c r="F36" s="78">
        <f t="shared" si="14"/>
        <v>108902.02753770351</v>
      </c>
      <c r="G36" s="78">
        <f t="shared" si="14"/>
        <v>583794.00862488849</v>
      </c>
      <c r="H36" s="78"/>
      <c r="I36" s="78"/>
      <c r="J36" s="78"/>
      <c r="K36" s="78"/>
      <c r="L36" s="78"/>
    </row>
    <row r="37" spans="1:17" s="82" customFormat="1" ht="17.25" customHeight="1" x14ac:dyDescent="0.25">
      <c r="A37" s="8" t="s">
        <v>48</v>
      </c>
      <c r="B37" s="79"/>
      <c r="C37" s="80">
        <f>SUM(B35:L35)</f>
        <v>583794.00862488849</v>
      </c>
      <c r="D37" s="93"/>
      <c r="E37" s="93"/>
      <c r="F37" s="93"/>
      <c r="G37" s="94"/>
      <c r="H37" s="81"/>
      <c r="I37" s="81"/>
      <c r="J37" s="81"/>
      <c r="K37" s="81"/>
      <c r="L37" s="81"/>
    </row>
    <row r="38" spans="1:17" s="82" customFormat="1" ht="17.25" customHeight="1" x14ac:dyDescent="0.25">
      <c r="A38" s="9" t="s">
        <v>49</v>
      </c>
      <c r="B38" s="83"/>
      <c r="C38" s="84">
        <f>IF(C37&gt;0,IRR(B34:G34),"non rentable")</f>
        <v>0.49745235460403858</v>
      </c>
      <c r="D38" s="81"/>
      <c r="E38" s="81"/>
      <c r="F38" s="81"/>
      <c r="G38" s="95"/>
      <c r="H38" s="81"/>
      <c r="I38" s="81"/>
      <c r="J38" s="81"/>
      <c r="K38" s="81"/>
      <c r="L38" s="81"/>
    </row>
    <row r="39" spans="1:17" s="82" customFormat="1" ht="17.25" customHeight="1" x14ac:dyDescent="0.25">
      <c r="A39" s="9" t="s">
        <v>50</v>
      </c>
      <c r="B39" s="83"/>
      <c r="C39" s="84">
        <f>IF(B35&lt;&gt;0,IF(C37&gt;0,C37/-B35,"non rentable"),"non calculé")</f>
        <v>0.99084927186158733</v>
      </c>
      <c r="D39" s="81"/>
      <c r="E39" s="81"/>
      <c r="F39" s="81"/>
      <c r="G39" s="95"/>
      <c r="H39" s="81"/>
      <c r="I39" s="81"/>
      <c r="J39" s="81"/>
      <c r="K39" s="81"/>
      <c r="L39" s="81"/>
    </row>
    <row r="40" spans="1:17" s="3" customFormat="1" ht="17.25" customHeight="1" x14ac:dyDescent="0.25">
      <c r="A40" s="9" t="s">
        <v>51</v>
      </c>
      <c r="B40" s="85"/>
      <c r="C40" s="84">
        <f>IF(B35&lt;&gt;0,IF(C37&gt;0,SUM(C35:L35)/-B35,"non rentable"),"non calculé")</f>
        <v>1.9908492718615873</v>
      </c>
      <c r="D40" s="86"/>
      <c r="E40" s="86"/>
      <c r="F40" s="86"/>
      <c r="G40" s="96"/>
      <c r="H40" s="86"/>
      <c r="I40" s="86"/>
      <c r="J40" s="86"/>
      <c r="K40" s="86"/>
      <c r="L40" s="86"/>
      <c r="M40" s="82"/>
      <c r="N40" s="82"/>
      <c r="O40" s="82"/>
      <c r="P40" s="82"/>
    </row>
    <row r="41" spans="1:17" s="3" customFormat="1" ht="17.25" customHeight="1" thickBot="1" x14ac:dyDescent="0.3">
      <c r="A41" s="10" t="s">
        <v>52</v>
      </c>
      <c r="B41" s="87"/>
      <c r="C41" s="88" t="str">
        <f>HLOOKUP(0,drci,2)&amp;" ans "&amp;CEILING((-HLOOKUP(HLOOKUP(0,drci,2),drci2,2)/(-HLOOKUP(HLOOKUP(0,drci,2),drci2,2)+HLOOKUP(HLOOKUP(0,drci,2)+1,drci2,2))*365),1)&amp;" j."</f>
        <v>3 ans 69 j.</v>
      </c>
      <c r="D41" s="97"/>
      <c r="E41" s="97"/>
      <c r="F41" s="97"/>
      <c r="G41" s="98"/>
      <c r="H41" s="86"/>
      <c r="I41" s="86"/>
      <c r="J41" s="86"/>
      <c r="K41" s="86"/>
      <c r="L41" s="86"/>
      <c r="M41" s="82"/>
      <c r="N41" s="82"/>
      <c r="O41" s="82"/>
      <c r="P41" s="82"/>
    </row>
    <row r="42" spans="1:17" hidden="1" x14ac:dyDescent="0.2">
      <c r="C42" s="90">
        <v>1</v>
      </c>
      <c r="D42" s="89">
        <v>2</v>
      </c>
      <c r="E42" s="89">
        <v>3</v>
      </c>
      <c r="F42" s="89">
        <v>4</v>
      </c>
      <c r="G42" s="89">
        <v>5</v>
      </c>
      <c r="M42" s="90">
        <v>6</v>
      </c>
      <c r="N42" s="90">
        <v>7</v>
      </c>
      <c r="O42" s="90">
        <v>8</v>
      </c>
      <c r="P42" s="90">
        <v>9</v>
      </c>
      <c r="Q42" s="90">
        <v>10</v>
      </c>
    </row>
    <row r="43" spans="1:17" hidden="1" x14ac:dyDescent="0.2">
      <c r="C43" s="91">
        <f>C36</f>
        <v>-369709.36034336337</v>
      </c>
      <c r="D43" s="91">
        <f t="shared" ref="D43:O43" si="15">D36</f>
        <v>-183350.6477768351</v>
      </c>
      <c r="E43" s="91">
        <f t="shared" si="15"/>
        <v>-25207.854516047286</v>
      </c>
      <c r="F43" s="91">
        <f t="shared" si="15"/>
        <v>108902.02753770351</v>
      </c>
      <c r="G43" s="91">
        <f t="shared" si="15"/>
        <v>583794.00862488849</v>
      </c>
      <c r="H43" s="91">
        <f t="shared" si="15"/>
        <v>0</v>
      </c>
      <c r="I43" s="91">
        <f t="shared" si="15"/>
        <v>0</v>
      </c>
      <c r="J43" s="91">
        <f t="shared" si="15"/>
        <v>0</v>
      </c>
      <c r="K43" s="91">
        <f t="shared" si="15"/>
        <v>0</v>
      </c>
      <c r="L43" s="91">
        <f t="shared" si="15"/>
        <v>0</v>
      </c>
      <c r="M43" s="91">
        <f t="shared" si="15"/>
        <v>0</v>
      </c>
      <c r="N43" s="91">
        <f t="shared" si="15"/>
        <v>0</v>
      </c>
      <c r="O43" s="91">
        <f t="shared" si="15"/>
        <v>0</v>
      </c>
    </row>
    <row r="44" spans="1:17" hidden="1" x14ac:dyDescent="0.2">
      <c r="C44" s="90">
        <f>C42</f>
        <v>1</v>
      </c>
      <c r="D44" s="90">
        <f>D42</f>
        <v>2</v>
      </c>
      <c r="E44" s="90">
        <f>E42</f>
        <v>3</v>
      </c>
      <c r="F44" s="90">
        <f>F42</f>
        <v>4</v>
      </c>
      <c r="G44" s="90">
        <f>G42</f>
        <v>5</v>
      </c>
    </row>
    <row r="45" spans="1:17" hidden="1" x14ac:dyDescent="0.2">
      <c r="C45" s="90"/>
    </row>
    <row r="46" spans="1:17" x14ac:dyDescent="0.2">
      <c r="C46" s="90"/>
    </row>
    <row r="47" spans="1:17" x14ac:dyDescent="0.2">
      <c r="C47" s="90"/>
    </row>
    <row r="48" spans="1:17" x14ac:dyDescent="0.2">
      <c r="C48" s="90"/>
    </row>
    <row r="49" spans="3:3" x14ac:dyDescent="0.2">
      <c r="C49" s="90"/>
    </row>
    <row r="50" spans="3:3" x14ac:dyDescent="0.2">
      <c r="C50" s="90"/>
    </row>
    <row r="51" spans="3:3" x14ac:dyDescent="0.2">
      <c r="C51" s="90"/>
    </row>
    <row r="52" spans="3:3" x14ac:dyDescent="0.2">
      <c r="C52" s="90"/>
    </row>
    <row r="53" spans="3:3" x14ac:dyDescent="0.2">
      <c r="C53" s="90"/>
    </row>
    <row r="54" spans="3:3" x14ac:dyDescent="0.2">
      <c r="C54" s="90"/>
    </row>
  </sheetData>
  <mergeCells count="4">
    <mergeCell ref="A1:B1"/>
    <mergeCell ref="A2:B2"/>
    <mergeCell ref="A3:B3"/>
    <mergeCell ref="D1:G3"/>
  </mergeCells>
  <printOptions horizontalCentered="1" verticalCentered="1" gridLinesSet="0"/>
  <pageMargins left="0.78740157480314965" right="0.78740157480314965" top="0.78740157480314965" bottom="0.78740157480314965" header="0.4921259845" footer="0.4921259845"/>
  <pageSetup paperSize="9" scale="66" orientation="landscape" horizontalDpi="300" verticalDpi="4294967292" r:id="rId1"/>
  <headerFooter alignWithMargins="0">
    <oddHeader>&amp;LDESS "Management des PME PMI - Reprise et Création"
Partiel de GPGT
GA CHERRY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P54"/>
  <sheetViews>
    <sheetView showGridLines="0" showZeros="0" showOutlineSymbols="0" workbookViewId="0">
      <selection activeCell="C6" sqref="C6"/>
    </sheetView>
  </sheetViews>
  <sheetFormatPr baseColWidth="10" defaultRowHeight="12.75" x14ac:dyDescent="0.2"/>
  <cols>
    <col min="1" max="1" width="30.85546875" style="55" customWidth="1"/>
    <col min="2" max="12" width="13.5703125" style="55" customWidth="1"/>
    <col min="13" max="16384" width="11.42578125" style="56"/>
  </cols>
  <sheetData>
    <row r="1" spans="1:15" s="14" customFormat="1" ht="30" x14ac:dyDescent="0.25">
      <c r="A1" s="11" t="s">
        <v>0</v>
      </c>
      <c r="B1" s="11"/>
      <c r="C1" s="12">
        <v>0.27500000000000002</v>
      </c>
      <c r="D1" s="120" t="s">
        <v>53</v>
      </c>
      <c r="E1" s="121"/>
      <c r="F1" s="121"/>
      <c r="G1" s="121"/>
      <c r="H1" s="121"/>
      <c r="I1" s="121"/>
      <c r="J1" s="121"/>
      <c r="K1" s="121"/>
      <c r="L1" s="122"/>
      <c r="M1" s="13" t="s">
        <v>1</v>
      </c>
    </row>
    <row r="2" spans="1:15" s="14" customFormat="1" ht="15" x14ac:dyDescent="0.25">
      <c r="A2" s="15" t="s">
        <v>2</v>
      </c>
      <c r="B2" s="15"/>
      <c r="C2" s="16" t="s">
        <v>54</v>
      </c>
      <c r="D2" s="123"/>
      <c r="E2" s="124"/>
      <c r="F2" s="124"/>
      <c r="G2" s="124"/>
      <c r="H2" s="124"/>
      <c r="I2" s="124"/>
      <c r="J2" s="124"/>
      <c r="K2" s="124"/>
      <c r="L2" s="125"/>
      <c r="M2" s="14" t="s">
        <v>3</v>
      </c>
      <c r="N2" s="17">
        <v>300000</v>
      </c>
      <c r="O2" s="14" t="s">
        <v>4</v>
      </c>
    </row>
    <row r="3" spans="1:15" s="14" customFormat="1" ht="30" x14ac:dyDescent="0.25">
      <c r="A3" s="15" t="s">
        <v>5</v>
      </c>
      <c r="B3" s="15"/>
      <c r="C3" s="16"/>
      <c r="D3" s="126"/>
      <c r="E3" s="127"/>
      <c r="F3" s="127"/>
      <c r="G3" s="127"/>
      <c r="H3" s="127"/>
      <c r="I3" s="127"/>
      <c r="J3" s="127"/>
      <c r="K3" s="127"/>
      <c r="L3" s="128"/>
      <c r="M3" s="18" t="s">
        <v>6</v>
      </c>
      <c r="N3" s="18">
        <v>5</v>
      </c>
      <c r="O3" s="14" t="s">
        <v>7</v>
      </c>
    </row>
    <row r="4" spans="1:15" s="22" customFormat="1" ht="75" x14ac:dyDescent="0.25">
      <c r="A4" s="19" t="s">
        <v>8</v>
      </c>
      <c r="B4" s="20">
        <v>0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>
        <v>9</v>
      </c>
      <c r="L4" s="20">
        <v>10</v>
      </c>
      <c r="M4" s="18" t="s">
        <v>9</v>
      </c>
      <c r="N4" s="21" t="s">
        <v>55</v>
      </c>
      <c r="O4" s="14"/>
    </row>
    <row r="5" spans="1:15" s="18" customFormat="1" ht="15" x14ac:dyDescent="0.25">
      <c r="A5" s="23" t="s">
        <v>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N5" s="18" t="s">
        <v>11</v>
      </c>
      <c r="O5" s="18" t="s">
        <v>12</v>
      </c>
    </row>
    <row r="6" spans="1:15" s="18" customFormat="1" ht="45" x14ac:dyDescent="0.25">
      <c r="A6" s="15" t="s">
        <v>13</v>
      </c>
      <c r="B6" s="25"/>
      <c r="C6" s="25">
        <v>16150</v>
      </c>
      <c r="D6" s="25" t="s">
        <v>56</v>
      </c>
      <c r="E6" s="26" t="s">
        <v>57</v>
      </c>
      <c r="F6" s="26" t="s">
        <v>58</v>
      </c>
      <c r="G6" s="25" t="s">
        <v>59</v>
      </c>
      <c r="H6" s="25"/>
      <c r="I6" s="27"/>
      <c r="J6" s="27"/>
      <c r="K6" s="27"/>
      <c r="L6" s="27"/>
      <c r="M6" s="18">
        <v>1</v>
      </c>
      <c r="N6" s="28" t="s">
        <v>60</v>
      </c>
      <c r="O6" s="28" t="s">
        <v>61</v>
      </c>
    </row>
    <row r="7" spans="1:15" s="18" customFormat="1" ht="45" x14ac:dyDescent="0.25">
      <c r="A7" s="15" t="s">
        <v>14</v>
      </c>
      <c r="B7" s="27"/>
      <c r="C7" s="27">
        <v>12</v>
      </c>
      <c r="D7" s="27">
        <v>12</v>
      </c>
      <c r="E7" s="27">
        <v>12</v>
      </c>
      <c r="F7" s="27">
        <v>12</v>
      </c>
      <c r="G7" s="27">
        <v>6</v>
      </c>
      <c r="H7" s="27"/>
      <c r="I7" s="27"/>
      <c r="J7" s="27"/>
      <c r="K7" s="27"/>
      <c r="L7" s="27"/>
      <c r="M7" s="18">
        <v>2</v>
      </c>
      <c r="N7" s="28" t="s">
        <v>62</v>
      </c>
      <c r="O7" s="28" t="s">
        <v>63</v>
      </c>
    </row>
    <row r="8" spans="1:15" s="18" customFormat="1" ht="180" x14ac:dyDescent="0.25">
      <c r="A8" s="15" t="s">
        <v>15</v>
      </c>
      <c r="B8" s="27"/>
      <c r="C8" s="27" t="s">
        <v>64</v>
      </c>
      <c r="D8" s="27" t="s">
        <v>65</v>
      </c>
      <c r="E8" s="27" t="s">
        <v>66</v>
      </c>
      <c r="F8" s="27" t="s">
        <v>67</v>
      </c>
      <c r="G8" s="27" t="s">
        <v>68</v>
      </c>
      <c r="H8" s="27"/>
      <c r="I8" s="27" t="s">
        <v>69</v>
      </c>
      <c r="J8" s="27" t="s">
        <v>70</v>
      </c>
      <c r="K8" s="27" t="s">
        <v>71</v>
      </c>
      <c r="L8" s="27" t="s">
        <v>72</v>
      </c>
      <c r="M8" s="18">
        <v>3</v>
      </c>
      <c r="N8" s="28" t="s">
        <v>73</v>
      </c>
      <c r="O8" s="28" t="s">
        <v>74</v>
      </c>
    </row>
    <row r="9" spans="1:15" s="18" customFormat="1" ht="180" x14ac:dyDescent="0.25">
      <c r="A9" s="15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18">
        <v>4</v>
      </c>
      <c r="N9" s="28" t="s">
        <v>75</v>
      </c>
      <c r="O9" s="28" t="s">
        <v>76</v>
      </c>
    </row>
    <row r="10" spans="1:15" s="18" customFormat="1" ht="180" x14ac:dyDescent="0.25">
      <c r="A10" s="30" t="s">
        <v>17</v>
      </c>
      <c r="B10" s="31" t="s">
        <v>77</v>
      </c>
      <c r="C10" s="31" t="s">
        <v>78</v>
      </c>
      <c r="D10" s="32" t="s">
        <v>79</v>
      </c>
      <c r="E10" s="31" t="s">
        <v>80</v>
      </c>
      <c r="F10" s="31" t="s">
        <v>81</v>
      </c>
      <c r="G10" s="31" t="s">
        <v>82</v>
      </c>
      <c r="H10" s="31" t="s">
        <v>83</v>
      </c>
      <c r="I10" s="31" t="s">
        <v>84</v>
      </c>
      <c r="J10" s="31" t="s">
        <v>85</v>
      </c>
      <c r="K10" s="31" t="s">
        <v>86</v>
      </c>
      <c r="L10" s="31" t="s">
        <v>87</v>
      </c>
      <c r="M10" s="18">
        <v>5</v>
      </c>
      <c r="N10" s="28" t="s">
        <v>88</v>
      </c>
      <c r="O10" s="28" t="s">
        <v>89</v>
      </c>
    </row>
    <row r="11" spans="1:15" s="18" customFormat="1" ht="180" x14ac:dyDescent="0.25">
      <c r="A11" s="15" t="s">
        <v>18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8">
        <v>6</v>
      </c>
      <c r="N11" s="28" t="s">
        <v>90</v>
      </c>
      <c r="O11" s="28" t="s">
        <v>91</v>
      </c>
    </row>
    <row r="12" spans="1:15" s="18" customFormat="1" ht="180" x14ac:dyDescent="0.25">
      <c r="A12" s="15" t="s">
        <v>19</v>
      </c>
      <c r="B12" s="27" t="s">
        <v>92</v>
      </c>
      <c r="C12" s="27" t="s">
        <v>93</v>
      </c>
      <c r="D12" s="27" t="s">
        <v>94</v>
      </c>
      <c r="E12" s="27" t="s">
        <v>95</v>
      </c>
      <c r="F12" s="27" t="s">
        <v>96</v>
      </c>
      <c r="G12" s="27" t="s">
        <v>97</v>
      </c>
      <c r="H12" s="27" t="s">
        <v>98</v>
      </c>
      <c r="I12" s="27" t="s">
        <v>99</v>
      </c>
      <c r="J12" s="27" t="s">
        <v>100</v>
      </c>
      <c r="K12" s="27" t="s">
        <v>101</v>
      </c>
      <c r="L12" s="27" t="s">
        <v>102</v>
      </c>
      <c r="M12" s="18">
        <v>7</v>
      </c>
      <c r="N12" s="28" t="s">
        <v>103</v>
      </c>
      <c r="O12" s="28" t="s">
        <v>104</v>
      </c>
    </row>
    <row r="13" spans="1:15" s="18" customFormat="1" ht="180" x14ac:dyDescent="0.25">
      <c r="A13" s="15" t="s">
        <v>20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8">
        <v>8</v>
      </c>
      <c r="N13" s="28" t="s">
        <v>105</v>
      </c>
      <c r="O13" s="28" t="s">
        <v>106</v>
      </c>
    </row>
    <row r="14" spans="1:15" s="18" customFormat="1" ht="180" x14ac:dyDescent="0.25">
      <c r="A14" s="15" t="s">
        <v>21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18">
        <v>9</v>
      </c>
      <c r="N14" s="28" t="s">
        <v>107</v>
      </c>
      <c r="O14" s="28" t="s">
        <v>108</v>
      </c>
    </row>
    <row r="15" spans="1:15" s="18" customFormat="1" ht="180" x14ac:dyDescent="0.25">
      <c r="A15" s="15" t="s">
        <v>22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8">
        <v>10</v>
      </c>
      <c r="N15" s="28" t="s">
        <v>109</v>
      </c>
      <c r="O15" s="28" t="s">
        <v>110</v>
      </c>
    </row>
    <row r="16" spans="1:15" s="18" customFormat="1" ht="45" x14ac:dyDescent="0.25">
      <c r="A16" s="15" t="s">
        <v>23</v>
      </c>
      <c r="B16" s="27"/>
      <c r="C16" s="27" t="s">
        <v>111</v>
      </c>
      <c r="D16" s="33" t="s">
        <v>112</v>
      </c>
      <c r="E16" s="33" t="s">
        <v>113</v>
      </c>
      <c r="F16" s="33" t="s">
        <v>114</v>
      </c>
      <c r="G16" s="27" t="s">
        <v>115</v>
      </c>
      <c r="H16" s="27" t="s">
        <v>116</v>
      </c>
      <c r="I16" s="27" t="s">
        <v>117</v>
      </c>
      <c r="J16" s="27" t="s">
        <v>118</v>
      </c>
      <c r="K16" s="27" t="s">
        <v>119</v>
      </c>
      <c r="L16" s="27"/>
      <c r="N16" s="28" t="s">
        <v>120</v>
      </c>
      <c r="O16" s="28" t="s">
        <v>121</v>
      </c>
    </row>
    <row r="17" spans="1:15" s="18" customFormat="1" ht="15" x14ac:dyDescent="0.25">
      <c r="A17" s="15" t="s">
        <v>16</v>
      </c>
      <c r="B17" s="27"/>
      <c r="C17" s="27">
        <v>0</v>
      </c>
      <c r="D17" s="27">
        <v>0</v>
      </c>
      <c r="E17" s="27">
        <v>0</v>
      </c>
      <c r="F17" s="27"/>
      <c r="G17" s="27"/>
      <c r="H17" s="27"/>
      <c r="I17" s="27"/>
      <c r="J17" s="27"/>
      <c r="K17" s="27"/>
      <c r="L17" s="27"/>
    </row>
    <row r="18" spans="1:15" s="18" customFormat="1" ht="45" x14ac:dyDescent="0.25">
      <c r="A18" s="30" t="s">
        <v>24</v>
      </c>
      <c r="B18" s="31" t="s">
        <v>122</v>
      </c>
      <c r="C18" s="31" t="s">
        <v>123</v>
      </c>
      <c r="D18" s="31" t="s">
        <v>124</v>
      </c>
      <c r="E18" s="31" t="s">
        <v>125</v>
      </c>
      <c r="F18" s="31" t="s">
        <v>126</v>
      </c>
      <c r="G18" s="31" t="s">
        <v>127</v>
      </c>
      <c r="H18" s="31" t="s">
        <v>128</v>
      </c>
      <c r="I18" s="31" t="s">
        <v>129</v>
      </c>
      <c r="J18" s="31" t="s">
        <v>130</v>
      </c>
      <c r="K18" s="31" t="s">
        <v>131</v>
      </c>
      <c r="L18" s="31" t="s">
        <v>132</v>
      </c>
      <c r="M18" s="34" t="s">
        <v>25</v>
      </c>
    </row>
    <row r="19" spans="1:15" s="18" customFormat="1" ht="15" x14ac:dyDescent="0.25">
      <c r="A19" s="15" t="s">
        <v>26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8" t="s">
        <v>27</v>
      </c>
      <c r="N19" s="35" t="s">
        <v>133</v>
      </c>
      <c r="O19" s="36" t="s">
        <v>28</v>
      </c>
    </row>
    <row r="20" spans="1:15" s="18" customFormat="1" ht="60" x14ac:dyDescent="0.25">
      <c r="A20" s="15" t="s">
        <v>16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8" t="s">
        <v>29</v>
      </c>
      <c r="N20" s="18">
        <v>5</v>
      </c>
      <c r="O20" s="37" t="s">
        <v>134</v>
      </c>
    </row>
    <row r="21" spans="1:15" s="18" customFormat="1" ht="45" x14ac:dyDescent="0.25">
      <c r="A21" s="30" t="s">
        <v>30</v>
      </c>
      <c r="B21" s="31" t="s">
        <v>135</v>
      </c>
      <c r="C21" s="31" t="s">
        <v>136</v>
      </c>
      <c r="D21" s="31" t="s">
        <v>137</v>
      </c>
      <c r="E21" s="31" t="s">
        <v>138</v>
      </c>
      <c r="F21" s="31" t="s">
        <v>139</v>
      </c>
      <c r="G21" s="31" t="s">
        <v>140</v>
      </c>
      <c r="H21" s="31" t="s">
        <v>141</v>
      </c>
      <c r="I21" s="31" t="s">
        <v>142</v>
      </c>
      <c r="J21" s="31" t="s">
        <v>143</v>
      </c>
      <c r="K21" s="31" t="s">
        <v>144</v>
      </c>
      <c r="L21" s="31" t="s">
        <v>145</v>
      </c>
      <c r="M21" s="18" t="s">
        <v>31</v>
      </c>
      <c r="N21" s="38">
        <v>8.5000000000000006E-2</v>
      </c>
    </row>
    <row r="22" spans="1:15" s="14" customFormat="1" ht="15" x14ac:dyDescent="0.25">
      <c r="A22" s="15" t="s">
        <v>32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8"/>
      <c r="N22" s="36" t="s">
        <v>33</v>
      </c>
      <c r="O22" s="36" t="s">
        <v>34</v>
      </c>
    </row>
    <row r="23" spans="1:15" s="14" customFormat="1" ht="30" x14ac:dyDescent="0.25">
      <c r="A23" s="15" t="s">
        <v>35</v>
      </c>
      <c r="B23" s="27"/>
      <c r="C23" s="27" t="s">
        <v>146</v>
      </c>
      <c r="D23" s="27" t="s">
        <v>147</v>
      </c>
      <c r="E23" s="27" t="s">
        <v>148</v>
      </c>
      <c r="F23" s="27" t="s">
        <v>149</v>
      </c>
      <c r="G23" s="27" t="s">
        <v>150</v>
      </c>
      <c r="H23" s="27" t="s">
        <v>151</v>
      </c>
      <c r="I23" s="27" t="s">
        <v>152</v>
      </c>
      <c r="J23" s="27" t="s">
        <v>153</v>
      </c>
      <c r="K23" s="27" t="s">
        <v>154</v>
      </c>
      <c r="L23" s="27" t="s">
        <v>155</v>
      </c>
      <c r="M23" s="14">
        <v>1</v>
      </c>
      <c r="N23" s="39" t="s">
        <v>156</v>
      </c>
      <c r="O23" s="39" t="s">
        <v>157</v>
      </c>
    </row>
    <row r="24" spans="1:15" s="14" customFormat="1" ht="39" x14ac:dyDescent="0.25">
      <c r="A24" s="15" t="s">
        <v>36</v>
      </c>
      <c r="B24" s="27"/>
      <c r="C24" s="27" t="s">
        <v>158</v>
      </c>
      <c r="D24" s="27" t="s">
        <v>159</v>
      </c>
      <c r="E24" s="27" t="s">
        <v>160</v>
      </c>
      <c r="F24" s="27" t="s">
        <v>161</v>
      </c>
      <c r="G24" s="27" t="s">
        <v>162</v>
      </c>
      <c r="H24" s="27" t="s">
        <v>163</v>
      </c>
      <c r="I24" s="27" t="s">
        <v>164</v>
      </c>
      <c r="J24" s="27" t="s">
        <v>165</v>
      </c>
      <c r="K24" s="27" t="s">
        <v>166</v>
      </c>
      <c r="L24" s="27" t="s">
        <v>167</v>
      </c>
      <c r="M24" s="14">
        <v>2</v>
      </c>
      <c r="N24" s="39" t="s">
        <v>168</v>
      </c>
      <c r="O24" s="39" t="s">
        <v>169</v>
      </c>
    </row>
    <row r="25" spans="1:15" s="14" customFormat="1" ht="39" x14ac:dyDescent="0.25">
      <c r="A25" s="15" t="s">
        <v>16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14">
        <v>3</v>
      </c>
      <c r="N25" s="39" t="s">
        <v>170</v>
      </c>
      <c r="O25" s="39" t="s">
        <v>171</v>
      </c>
    </row>
    <row r="26" spans="1:15" s="14" customFormat="1" ht="45" x14ac:dyDescent="0.25">
      <c r="A26" s="30" t="s">
        <v>37</v>
      </c>
      <c r="B26" s="31" t="s">
        <v>172</v>
      </c>
      <c r="C26" s="31" t="s">
        <v>173</v>
      </c>
      <c r="D26" s="31" t="s">
        <v>174</v>
      </c>
      <c r="E26" s="31" t="s">
        <v>175</v>
      </c>
      <c r="F26" s="31" t="s">
        <v>176</v>
      </c>
      <c r="G26" s="31" t="s">
        <v>177</v>
      </c>
      <c r="H26" s="31" t="s">
        <v>178</v>
      </c>
      <c r="I26" s="31" t="s">
        <v>179</v>
      </c>
      <c r="J26" s="31" t="s">
        <v>180</v>
      </c>
      <c r="K26" s="31" t="s">
        <v>181</v>
      </c>
      <c r="L26" s="31" t="s">
        <v>182</v>
      </c>
      <c r="M26" s="14">
        <v>4</v>
      </c>
      <c r="N26" s="39" t="s">
        <v>183</v>
      </c>
      <c r="O26" s="39" t="s">
        <v>184</v>
      </c>
    </row>
    <row r="27" spans="1:15" s="14" customFormat="1" ht="39" x14ac:dyDescent="0.25">
      <c r="A27" s="15" t="s">
        <v>38</v>
      </c>
      <c r="B27" s="27">
        <v>-300000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14">
        <v>5</v>
      </c>
      <c r="N27" s="39" t="s">
        <v>185</v>
      </c>
      <c r="O27" s="39" t="s">
        <v>186</v>
      </c>
    </row>
    <row r="28" spans="1:15" s="14" customFormat="1" ht="39" x14ac:dyDescent="0.25">
      <c r="A28" s="15" t="s">
        <v>39</v>
      </c>
      <c r="B28" s="27">
        <v>175000</v>
      </c>
      <c r="C28" s="27" t="s">
        <v>187</v>
      </c>
      <c r="D28" s="27" t="s">
        <v>188</v>
      </c>
      <c r="E28" s="33" t="s">
        <v>189</v>
      </c>
      <c r="F28" s="33" t="s">
        <v>190</v>
      </c>
      <c r="G28" s="27" t="s">
        <v>191</v>
      </c>
      <c r="H28" s="27" t="s">
        <v>192</v>
      </c>
      <c r="I28" s="27" t="s">
        <v>193</v>
      </c>
      <c r="J28" s="27" t="s">
        <v>194</v>
      </c>
      <c r="K28" s="27" t="s">
        <v>195</v>
      </c>
      <c r="L28" s="27"/>
      <c r="M28" s="14">
        <v>6</v>
      </c>
      <c r="N28" s="17" t="s">
        <v>196</v>
      </c>
      <c r="O28" s="17" t="s">
        <v>197</v>
      </c>
    </row>
    <row r="29" spans="1:15" s="14" customFormat="1" ht="39" x14ac:dyDescent="0.25">
      <c r="A29" s="15" t="s">
        <v>40</v>
      </c>
      <c r="B29" s="27"/>
      <c r="C29" s="27"/>
      <c r="D29" s="27"/>
      <c r="E29" s="27">
        <v>0</v>
      </c>
      <c r="F29" s="27"/>
      <c r="G29" s="27"/>
      <c r="H29" s="27"/>
      <c r="I29" s="27"/>
      <c r="J29" s="27"/>
      <c r="K29" s="27"/>
      <c r="L29" s="27"/>
      <c r="M29" s="14">
        <v>7</v>
      </c>
      <c r="N29" s="17" t="s">
        <v>198</v>
      </c>
      <c r="O29" s="17" t="s">
        <v>199</v>
      </c>
    </row>
    <row r="30" spans="1:15" s="14" customFormat="1" ht="39" x14ac:dyDescent="0.25">
      <c r="A30" s="15" t="s">
        <v>41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4">
        <v>8</v>
      </c>
      <c r="N30" s="17" t="s">
        <v>200</v>
      </c>
      <c r="O30" s="17" t="s">
        <v>201</v>
      </c>
    </row>
    <row r="31" spans="1:15" s="14" customFormat="1" ht="45" x14ac:dyDescent="0.25">
      <c r="A31" s="30" t="s">
        <v>42</v>
      </c>
      <c r="B31" s="31" t="s">
        <v>202</v>
      </c>
      <c r="C31" s="31" t="s">
        <v>203</v>
      </c>
      <c r="D31" s="31" t="s">
        <v>204</v>
      </c>
      <c r="E31" s="31" t="s">
        <v>205</v>
      </c>
      <c r="F31" s="31" t="s">
        <v>206</v>
      </c>
      <c r="G31" s="31" t="s">
        <v>207</v>
      </c>
      <c r="H31" s="31" t="s">
        <v>208</v>
      </c>
      <c r="I31" s="31" t="s">
        <v>209</v>
      </c>
      <c r="J31" s="31" t="s">
        <v>210</v>
      </c>
      <c r="K31" s="31" t="s">
        <v>211</v>
      </c>
      <c r="L31" s="31" t="s">
        <v>212</v>
      </c>
      <c r="M31" s="14">
        <v>9</v>
      </c>
      <c r="N31" s="17" t="s">
        <v>213</v>
      </c>
      <c r="O31" s="17" t="s">
        <v>214</v>
      </c>
    </row>
    <row r="32" spans="1:15" s="14" customFormat="1" ht="45" x14ac:dyDescent="0.25">
      <c r="A32" s="15" t="s">
        <v>43</v>
      </c>
      <c r="B32" s="27" t="s">
        <v>215</v>
      </c>
      <c r="C32" s="27" t="s">
        <v>216</v>
      </c>
      <c r="D32" s="27" t="s">
        <v>217</v>
      </c>
      <c r="E32" s="27" t="s">
        <v>218</v>
      </c>
      <c r="F32" s="27" t="s">
        <v>219</v>
      </c>
      <c r="G32" s="27" t="s">
        <v>220</v>
      </c>
      <c r="H32" s="27" t="s">
        <v>221</v>
      </c>
      <c r="I32" s="27" t="s">
        <v>222</v>
      </c>
      <c r="J32" s="27" t="s">
        <v>223</v>
      </c>
      <c r="K32" s="27" t="s">
        <v>224</v>
      </c>
      <c r="L32" s="27" t="s">
        <v>225</v>
      </c>
      <c r="N32" s="17" t="s">
        <v>226</v>
      </c>
      <c r="O32" s="17" t="s">
        <v>227</v>
      </c>
    </row>
    <row r="33" spans="1:16" s="14" customFormat="1" ht="45" x14ac:dyDescent="0.25">
      <c r="A33" s="15" t="s">
        <v>44</v>
      </c>
      <c r="B33" s="27" t="s">
        <v>228</v>
      </c>
      <c r="C33" s="27" t="s">
        <v>229</v>
      </c>
      <c r="D33" s="27" t="s">
        <v>230</v>
      </c>
      <c r="E33" s="27" t="s">
        <v>231</v>
      </c>
      <c r="F33" s="27" t="s">
        <v>232</v>
      </c>
      <c r="G33" s="27" t="s">
        <v>233</v>
      </c>
      <c r="H33" s="27" t="s">
        <v>234</v>
      </c>
      <c r="I33" s="27" t="s">
        <v>235</v>
      </c>
      <c r="J33" s="27" t="s">
        <v>236</v>
      </c>
      <c r="K33" s="27" t="s">
        <v>237</v>
      </c>
      <c r="L33" s="27" t="s">
        <v>238</v>
      </c>
    </row>
    <row r="34" spans="1:16" s="14" customFormat="1" ht="30" x14ac:dyDescent="0.25">
      <c r="A34" s="30" t="s">
        <v>45</v>
      </c>
      <c r="B34" s="31" t="s">
        <v>239</v>
      </c>
      <c r="C34" s="31" t="s">
        <v>240</v>
      </c>
      <c r="D34" s="31" t="s">
        <v>241</v>
      </c>
      <c r="E34" s="31" t="s">
        <v>242</v>
      </c>
      <c r="F34" s="31" t="s">
        <v>243</v>
      </c>
      <c r="G34" s="31" t="s">
        <v>244</v>
      </c>
      <c r="H34" s="31" t="s">
        <v>245</v>
      </c>
      <c r="I34" s="31" t="s">
        <v>246</v>
      </c>
      <c r="J34" s="31" t="s">
        <v>247</v>
      </c>
      <c r="K34" s="31" t="s">
        <v>248</v>
      </c>
      <c r="L34" s="31" t="s">
        <v>249</v>
      </c>
    </row>
    <row r="35" spans="1:16" s="14" customFormat="1" ht="75" x14ac:dyDescent="0.25">
      <c r="A35" s="30" t="s">
        <v>46</v>
      </c>
      <c r="B35" s="31" t="s">
        <v>250</v>
      </c>
      <c r="C35" s="31" t="s">
        <v>251</v>
      </c>
      <c r="D35" s="31" t="s">
        <v>252</v>
      </c>
      <c r="E35" s="31" t="s">
        <v>253</v>
      </c>
      <c r="F35" s="31" t="s">
        <v>254</v>
      </c>
      <c r="G35" s="31" t="s">
        <v>255</v>
      </c>
      <c r="H35" s="31" t="s">
        <v>256</v>
      </c>
      <c r="I35" s="31" t="s">
        <v>257</v>
      </c>
      <c r="J35" s="31" t="s">
        <v>258</v>
      </c>
      <c r="K35" s="31" t="s">
        <v>259</v>
      </c>
      <c r="L35" s="31" t="s">
        <v>260</v>
      </c>
    </row>
    <row r="36" spans="1:16" s="14" customFormat="1" ht="45.75" thickBot="1" x14ac:dyDescent="0.3">
      <c r="A36" s="40" t="s">
        <v>47</v>
      </c>
      <c r="B36" s="41" t="s">
        <v>261</v>
      </c>
      <c r="C36" s="41" t="s">
        <v>262</v>
      </c>
      <c r="D36" s="41" t="s">
        <v>263</v>
      </c>
      <c r="E36" s="41" t="s">
        <v>264</v>
      </c>
      <c r="F36" s="41" t="s">
        <v>265</v>
      </c>
      <c r="G36" s="41" t="s">
        <v>266</v>
      </c>
      <c r="H36" s="41" t="s">
        <v>267</v>
      </c>
      <c r="I36" s="41" t="s">
        <v>268</v>
      </c>
      <c r="J36" s="41" t="s">
        <v>269</v>
      </c>
      <c r="K36" s="41" t="s">
        <v>270</v>
      </c>
      <c r="L36" s="41" t="s">
        <v>271</v>
      </c>
    </row>
    <row r="37" spans="1:16" s="46" customFormat="1" ht="45" x14ac:dyDescent="0.25">
      <c r="A37" s="42" t="s">
        <v>48</v>
      </c>
      <c r="B37" s="43"/>
      <c r="C37" s="44" t="s">
        <v>272</v>
      </c>
      <c r="D37" s="45"/>
      <c r="E37" s="45"/>
      <c r="F37" s="45"/>
      <c r="G37" s="45"/>
      <c r="H37" s="45"/>
      <c r="I37" s="45"/>
      <c r="J37" s="45"/>
      <c r="K37" s="45"/>
      <c r="L37" s="45"/>
    </row>
    <row r="38" spans="1:16" s="46" customFormat="1" ht="60" x14ac:dyDescent="0.25">
      <c r="A38" s="47" t="s">
        <v>49</v>
      </c>
      <c r="B38" s="48"/>
      <c r="C38" s="49" t="s">
        <v>273</v>
      </c>
      <c r="D38" s="45"/>
      <c r="E38" s="45"/>
      <c r="F38" s="45"/>
      <c r="G38" s="45"/>
      <c r="H38" s="45"/>
      <c r="I38" s="45"/>
      <c r="J38" s="45"/>
      <c r="K38" s="45"/>
      <c r="L38" s="45"/>
    </row>
    <row r="39" spans="1:16" s="46" customFormat="1" ht="90" x14ac:dyDescent="0.25">
      <c r="A39" s="47" t="s">
        <v>50</v>
      </c>
      <c r="B39" s="48"/>
      <c r="C39" s="49" t="s">
        <v>274</v>
      </c>
      <c r="D39" s="45"/>
      <c r="E39" s="45"/>
      <c r="F39" s="45"/>
      <c r="G39" s="45"/>
      <c r="H39" s="45"/>
      <c r="I39" s="45"/>
      <c r="J39" s="45"/>
      <c r="K39" s="45"/>
      <c r="L39" s="45"/>
    </row>
    <row r="40" spans="1:16" s="14" customFormat="1" ht="105" x14ac:dyDescent="0.25">
      <c r="A40" s="47" t="s">
        <v>51</v>
      </c>
      <c r="B40" s="50"/>
      <c r="C40" s="49" t="s">
        <v>275</v>
      </c>
      <c r="D40" s="51"/>
      <c r="E40" s="51"/>
      <c r="F40" s="51"/>
      <c r="G40" s="51"/>
      <c r="H40" s="51"/>
      <c r="I40" s="51"/>
      <c r="J40" s="51"/>
      <c r="K40" s="51"/>
      <c r="L40" s="51"/>
      <c r="M40" s="46"/>
      <c r="N40" s="46"/>
      <c r="O40" s="46"/>
      <c r="P40" s="46"/>
    </row>
    <row r="41" spans="1:16" s="14" customFormat="1" ht="285.75" thickBot="1" x14ac:dyDescent="0.3">
      <c r="A41" s="52" t="s">
        <v>52</v>
      </c>
      <c r="B41" s="53" t="s">
        <v>276</v>
      </c>
      <c r="C41" s="54" t="s">
        <v>277</v>
      </c>
      <c r="D41" s="51"/>
      <c r="E41" s="51"/>
      <c r="F41" s="51"/>
      <c r="G41" s="51"/>
      <c r="H41" s="51"/>
      <c r="I41" s="51"/>
      <c r="J41" s="51"/>
      <c r="K41" s="51"/>
      <c r="L41" s="51"/>
      <c r="M41" s="46"/>
      <c r="N41" s="46"/>
      <c r="O41" s="46"/>
      <c r="P41" s="46"/>
    </row>
    <row r="42" spans="1:16" x14ac:dyDescent="0.2">
      <c r="C42" s="56"/>
    </row>
    <row r="43" spans="1:16" x14ac:dyDescent="0.2">
      <c r="C43" s="56"/>
    </row>
    <row r="44" spans="1:16" x14ac:dyDescent="0.2">
      <c r="C44" s="56"/>
    </row>
    <row r="45" spans="1:16" x14ac:dyDescent="0.2">
      <c r="C45" s="56"/>
    </row>
    <row r="46" spans="1:16" x14ac:dyDescent="0.2">
      <c r="C46" s="56"/>
    </row>
    <row r="47" spans="1:16" x14ac:dyDescent="0.2">
      <c r="C47" s="56"/>
    </row>
    <row r="48" spans="1:16" x14ac:dyDescent="0.2">
      <c r="C48" s="56"/>
    </row>
    <row r="49" spans="3:3" x14ac:dyDescent="0.2">
      <c r="C49" s="56"/>
    </row>
    <row r="50" spans="3:3" x14ac:dyDescent="0.2">
      <c r="C50" s="56"/>
    </row>
    <row r="51" spans="3:3" x14ac:dyDescent="0.2">
      <c r="C51" s="56"/>
    </row>
    <row r="52" spans="3:3" x14ac:dyDescent="0.2">
      <c r="C52" s="56"/>
    </row>
    <row r="53" spans="3:3" x14ac:dyDescent="0.2">
      <c r="C53" s="56"/>
    </row>
    <row r="54" spans="3:3" x14ac:dyDescent="0.2">
      <c r="C54" s="56"/>
    </row>
  </sheetData>
  <mergeCells count="1">
    <mergeCell ref="D1:L3"/>
  </mergeCells>
  <printOptions horizontalCentered="1" verticalCentered="1" gridLinesSet="0"/>
  <pageMargins left="0.78740157480314965" right="0.78740157480314965" top="0.78740157480314965" bottom="0.78740157480314965" header="0.4921259845" footer="0.4921259845"/>
  <pageSetup paperSize="9" scale="54" fitToHeight="4" orientation="landscape" horizontalDpi="300" verticalDpi="4294967292" r:id="rId1"/>
  <headerFooter alignWithMargins="0">
    <oddHeader>&amp;C&amp;"Times New Roman"&amp;12&amp;B&amp;IRENTABILITE D'UN INVESTISSEMENT</oddHeader>
    <oddFooter>&amp;LBTS CG2 OMG - ARPG - GA CHERRY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28</vt:i4>
      </vt:variant>
    </vt:vector>
  </HeadingPairs>
  <TitlesOfParts>
    <vt:vector size="30" baseType="lpstr">
      <vt:lpstr>VAN</vt:lpstr>
      <vt:lpstr>VAN (2)</vt:lpstr>
      <vt:lpstr>'VAN (2)'!Ann</vt:lpstr>
      <vt:lpstr>Ann</vt:lpstr>
      <vt:lpstr>'VAN (2)'!De</vt:lpstr>
      <vt:lpstr>De</vt:lpstr>
      <vt:lpstr>drci</vt:lpstr>
      <vt:lpstr>drci2</vt:lpstr>
      <vt:lpstr>'VAN (2)'!dv</vt:lpstr>
      <vt:lpstr>dv</vt:lpstr>
      <vt:lpstr>'VAN (2)'!ME</vt:lpstr>
      <vt:lpstr>ME</vt:lpstr>
      <vt:lpstr>'VAN (2)'!mode</vt:lpstr>
      <vt:lpstr>mode</vt:lpstr>
      <vt:lpstr>'VAN (2)'!pu</vt:lpstr>
      <vt:lpstr>pu</vt:lpstr>
      <vt:lpstr>'VAN (2)'!ti</vt:lpstr>
      <vt:lpstr>ti</vt:lpstr>
      <vt:lpstr>'VAN (2)'!TX</vt:lpstr>
      <vt:lpstr>TX</vt:lpstr>
      <vt:lpstr>'VAN (2)'!txd</vt:lpstr>
      <vt:lpstr>txd</vt:lpstr>
      <vt:lpstr>'VAN (2)'!Txe</vt:lpstr>
      <vt:lpstr>Txe</vt:lpstr>
      <vt:lpstr>'VAN (2)'!TXIS</vt:lpstr>
      <vt:lpstr>TXIS</vt:lpstr>
      <vt:lpstr>'VAN (2)'!va</vt:lpstr>
      <vt:lpstr>va</vt:lpstr>
      <vt:lpstr>VAN!Zone_d_impression</vt:lpstr>
      <vt:lpstr>'VAN (2)'!Zone_d_impression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G.-A. CHERRY</dc:creator>
  <cp:lastModifiedBy>Georges Cherry</cp:lastModifiedBy>
  <cp:lastPrinted>2000-12-19T20:52:14Z</cp:lastPrinted>
  <dcterms:created xsi:type="dcterms:W3CDTF">2000-10-05T20:41:10Z</dcterms:created>
  <dcterms:modified xsi:type="dcterms:W3CDTF">2018-12-14T06:06:19Z</dcterms:modified>
</cp:coreProperties>
</file>